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MsPvj7Py7gUOaLAsFquJslS8oG9X5A/m1/TjRkFZasoRDxgSPSMyE9+WmezvZnwKuK7cODNTGVGui67Hspagwg==" workbookSaltValue="++8fwoH+9ltI7Nktqr2lN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M18" i="16"/>
  <c r="BF17" i="8"/>
  <c r="B13" i="7"/>
  <c r="E18" i="12"/>
  <c r="EL19" i="8"/>
  <c r="AP12" i="11"/>
  <c r="EN19" i="8"/>
  <c r="F12" i="21"/>
  <c r="G10" i="3"/>
  <c r="BA13" i="16"/>
  <c r="J10" i="2"/>
  <c r="AP10" i="11"/>
  <c r="T10" i="21"/>
  <c r="D11" i="2"/>
  <c r="ES19" i="8"/>
  <c r="G18" i="12"/>
  <c r="C18" i="7"/>
  <c r="R8" i="9"/>
  <c r="X12" i="21" s="1"/>
  <c r="BM19" i="8"/>
  <c r="AL13" i="16"/>
  <c r="BJ17" i="11"/>
  <c r="V11" i="16"/>
  <c r="BL12" i="11"/>
  <c r="S13" i="16"/>
  <c r="V12" i="21"/>
  <c r="P13" i="16"/>
  <c r="AM13" i="20"/>
  <c r="Z13" i="17"/>
  <c r="M18" i="2"/>
  <c r="H13" i="12"/>
  <c r="F13" i="7"/>
  <c r="BI10" i="11"/>
  <c r="BJ11" i="11"/>
  <c r="BG15" i="11"/>
  <c r="T15" i="16"/>
  <c r="BV12" i="16"/>
  <c r="U10" i="17"/>
  <c r="S12" i="14"/>
  <c r="V12" i="14" s="1"/>
  <c r="T16" i="11"/>
  <c r="Q17" i="17"/>
  <c r="BI9" i="11"/>
  <c r="T12" i="11"/>
  <c r="BJ10" i="11"/>
  <c r="BK16" i="11"/>
  <c r="BH11" i="11"/>
  <c r="BG16" i="11"/>
  <c r="BF15" i="11"/>
  <c r="T11" i="11"/>
  <c r="S17" i="17"/>
  <c r="BH16" i="11"/>
  <c r="BM9" i="11"/>
  <c r="AQ12" i="21"/>
  <c r="BH12" i="16"/>
  <c r="BJ16" i="11"/>
  <c r="BK10" i="11"/>
  <c r="BL16" i="11"/>
  <c r="BG10" i="8"/>
  <c r="BD15" i="8"/>
  <c r="BD9" i="8"/>
  <c r="BA13" i="8"/>
  <c r="L10" i="2"/>
  <c r="AA10" i="16"/>
  <c r="I19" i="8"/>
  <c r="S15" i="17"/>
  <c r="E13" i="17"/>
  <c r="S16" i="17"/>
  <c r="L15" i="2"/>
  <c r="L12" i="2"/>
  <c r="L16" i="2"/>
  <c r="L17" i="2"/>
  <c r="X10" i="21"/>
  <c r="X15" i="16"/>
  <c r="X18" i="16" s="1"/>
  <c r="U9" i="17"/>
  <c r="U19" i="17" s="1"/>
  <c r="AA11" i="16"/>
  <c r="L9" i="2"/>
  <c r="T13" i="20"/>
  <c r="T13" i="16"/>
  <c r="AP13" i="16"/>
  <c r="AA9" i="16"/>
  <c r="V9" i="16"/>
  <c r="BG15" i="13"/>
  <c r="BE16" i="13"/>
  <c r="F20" i="20"/>
  <c r="AE20" i="20"/>
  <c r="L20" i="20"/>
  <c r="AP20" i="20"/>
  <c r="AF20" i="20"/>
  <c r="Q20" i="20"/>
  <c r="O16" i="11"/>
  <c r="Z20" i="20"/>
  <c r="AM20" i="20"/>
  <c r="AB20" i="20"/>
  <c r="E20" i="20"/>
  <c r="P20" i="20"/>
  <c r="W20" i="21"/>
  <c r="R20" i="20"/>
  <c r="O10" i="11"/>
  <c r="J20" i="20"/>
  <c r="M20" i="20"/>
  <c r="AH20" i="20"/>
  <c r="T20" i="21"/>
  <c r="I20" i="20"/>
  <c r="AJ20" i="20"/>
  <c r="W20" i="20"/>
  <c r="AO20" i="20"/>
  <c r="AU20" i="20"/>
  <c r="Y20" i="20"/>
  <c r="AV20" i="20"/>
  <c r="AQ20" i="20"/>
  <c r="O20" i="20"/>
  <c r="AG20" i="20"/>
  <c r="AQ20" i="21"/>
  <c r="G18" i="14"/>
  <c r="AK20" i="20"/>
  <c r="AV18" i="21" l="1"/>
  <c r="G12" i="12"/>
  <c r="AB13" i="21"/>
  <c r="BG12" i="8"/>
  <c r="AC10" i="11"/>
  <c r="K9" i="7"/>
  <c r="E9" i="6"/>
  <c r="AO9" i="11"/>
  <c r="BM17" i="11"/>
  <c r="Q15" i="17"/>
  <c r="BH10" i="16"/>
  <c r="R11" i="14"/>
  <c r="AQ10" i="21"/>
  <c r="BH10" i="11"/>
  <c r="BG12" i="11"/>
  <c r="S11" i="14"/>
  <c r="V11" i="14" s="1"/>
  <c r="BU16" i="17"/>
  <c r="BV11" i="16"/>
  <c r="BV17" i="16"/>
  <c r="BK17" i="11"/>
  <c r="BJ12" i="11"/>
  <c r="S16" i="14"/>
  <c r="V16" i="14" s="1"/>
  <c r="S9" i="17"/>
  <c r="BF16" i="11"/>
  <c r="BH15" i="16"/>
  <c r="BH9" i="16"/>
  <c r="F15" i="16"/>
  <c r="BL15" i="16" s="1"/>
  <c r="BE12" i="21"/>
  <c r="BE9" i="13"/>
  <c r="AL9" i="11"/>
  <c r="E11" i="6"/>
  <c r="BL10" i="11"/>
  <c r="BL15" i="11"/>
  <c r="BF12" i="11"/>
  <c r="P15" i="17"/>
  <c r="S15" i="16"/>
  <c r="X17" i="17"/>
  <c r="AZ11"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V19" i="16" l="1"/>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<sst xmlns="http://schemas.openxmlformats.org/spreadsheetml/2006/main" count="2094" uniqueCount="913">
  <si>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</si>
  <si>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</si>
  <si>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</si>
  <si>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</si>
  <si>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</si>
  <si>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</si>
  <si>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</si>
  <si>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</si>
  <si>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</si>
  <si>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</si>
  <si>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</si>
  <si>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</si>
  <si>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</si>
  <si>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</si>
  <si>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</si>
  <si>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</si>
  <si>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</si>
  <si>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</si>
  <si>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</si>
  <si>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</si>
  <si>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</si>
  <si>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</si>
  <si>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</si>
  <si>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</si>
  <si>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</si>
  <si>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</si>
  <si>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</si>
  <si>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</si>
  <si>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</si>
  <si>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</si>
  <si>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</si>
  <si>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</si>
  <si>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</si>
  <si>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</si>
  <si>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</si>
  <si>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</si>
  <si>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</si>
  <si>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</si>
  <si>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</si>
  <si>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</si>
  <si>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</si>
  <si>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</si>
  <si>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</si>
  <si>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</si>
  <si>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</si>
  <si>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</si>
  <si>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</si>
  <si>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</si>
  <si>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</si>
  <si>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</si>
  <si>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</si>
  <si>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</si>
  <si>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</si>
  <si>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</si>
  <si>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</si>
  <si>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</si>
  <si>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</si>
  <si>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</si>
  <si>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</si>
  <si>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</si>
  <si>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</si>
  <si>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</si>
  <si>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</si>
  <si>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</si>
  <si>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</si>
  <si>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</si>
  <si>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</si>
  <si>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</si>
  <si>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</si>
  <si>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</si>
  <si>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</si>
  <si>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</si>
  <si>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</si>
  <si>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</si>
  <si>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</si>
  <si>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</si>
  <si>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</si>
  <si>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</si>
  <si>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</si>
  <si>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</si>
  <si>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</si>
  <si>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</si>
  <si>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</si>
  <si>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</si>
  <si>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</si>
  <si>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</si>
  <si>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</si>
  <si>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</si>
  <si>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</si>
  <si>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</si>
  <si>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</si>
  <si>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</si>
  <si>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</si>
  <si>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</si>
  <si>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</si>
  <si>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</si>
  <si>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</si>
  <si>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</si>
  <si>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</si>
  <si>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</si>
  <si>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</si>
  <si>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</si>
  <si>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</si>
  <si>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</si>
  <si>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</si>
  <si>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</si>
  <si>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</si>
  <si>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</si>
  <si>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</si>
  <si>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</si>
  <si>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</si>
  <si>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</si>
  <si>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</si>
  <si>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</si>
  <si>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</si>
  <si>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</si>
  <si>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</si>
  <si>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</si>
  <si>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</si>
  <si>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</si>
  <si>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</si>
  <si>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</si>
  <si>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</si>
  <si>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</si>
  <si>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</si>
  <si>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</si>
  <si>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</si>
  <si>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</si>
  <si>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</si>
  <si>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</si>
  <si>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</si>
  <si>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</si>
  <si>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</si>
  <si>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</si>
  <si>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</si>
  <si>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</si>
  <si>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</si>
  <si>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</si>
  <si>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</si>
  <si>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</si>
  <si>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</si>
  <si>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</si>
  <si>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</si>
  <si>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</si>
  <si>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</si>
  <si>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</si>
  <si>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</si>
  <si>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</si>
  <si>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</si>
  <si>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</si>
  <si>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</si>
  <si>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</si>
  <si>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</si>
  <si>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</si>
  <si>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</si>
  <si>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</si>
  <si>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</si>
  <si>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</si>
  <si>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</si>
  <si>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</si>
  <si>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</si>
  <si>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</si>
  <si>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</si>
  <si>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</si>
  <si>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</si>
  <si>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</si>
  <si>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</si>
  <si>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</si>
  <si>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</si>
  <si>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</si>
  <si>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</si>
  <si>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</si>
  <si>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</si>
  <si>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</si>
  <si>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</si>
  <si>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</si>
  <si>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</si>
  <si>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</si>
  <si>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</si>
  <si>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</si>
  <si>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</si>
  <si>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</si>
  <si>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</si>
  <si>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</si>
  <si>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</si>
  <si>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</si>
  <si>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</si>
  <si>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</si>
  <si>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</si>
  <si>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</si>
  <si>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</si>
  <si>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</si>
  <si>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</si>
  <si>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</si>
  <si>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</si>
  <si>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</si>
  <si>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</si>
  <si>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</si>
  <si>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</si>
  <si>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</si>
  <si>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</si>
  <si>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</si>
  <si>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</si>
  <si>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</si>
  <si>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</si>
  <si>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</si>
  <si>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</si>
  <si>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</si>
  <si>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</si>
  <si>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</si>
  <si>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</si>
  <si>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</si>
  <si>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</si>
  <si>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</si>
  <si>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</si>
  <si>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</si>
  <si>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</si>
  <si>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</si>
  <si>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</si>
  <si>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</si>
  <si>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</si>
  <si>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</si>
  <si>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</si>
  <si>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</si>
  <si>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</si>
  <si>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</si>
  <si>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</si>
  <si>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</si>
  <si>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</si>
  <si>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</si>
  <si>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</si>
  <si>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</si>
  <si>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</si>
  <si>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</si>
  <si>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</si>
  <si>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</si>
  <si>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</si>
  <si>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</si>
  <si>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</si>
  <si>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</si>
  <si>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</si>
  <si>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</si>
  <si>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</si>
  <si>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</si>
  <si>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</si>
  <si>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</si>
  <si>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</si>
  <si>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</si>
  <si>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</si>
  <si>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</si>
  <si>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</si>
  <si>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</si>
  <si>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</si>
  <si>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</si>
  <si>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</si>
  <si>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</si>
  <si>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</si>
  <si>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</si>
  <si>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</si>
  <si>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</si>
  <si>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</si>
  <si>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</si>
  <si>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</si>
  <si>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</si>
  <si>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</si>
  <si>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</si>
  <si>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</si>
  <si>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</si>
  <si>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</si>
  <si>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</si>
  <si>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</si>
  <si>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</si>
  <si>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</si>
  <si>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</si>
  <si>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</si>
  <si>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</si>
  <si>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</si>
  <si>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</si>
  <si>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</si>
  <si>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</si>
  <si>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</si>
  <si>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</si>
  <si>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</si>
  <si>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</si>
  <si>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</si>
  <si>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</si>
  <si>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</si>
  <si>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</si>
  <si>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</si>
  <si>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</si>
  <si>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</si>
  <si>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</si>
  <si>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</si>
  <si>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</si>
  <si>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</si>
  <si>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</si>
  <si>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</si>
  <si>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</si>
  <si>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</si>
  <si>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</si>
  <si>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</si>
  <si>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</si>
  <si>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</si>
  <si>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</si>
  <si>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</si>
  <si>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</si>
  <si>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</si>
  <si>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</si>
  <si>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</si>
  <si>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</si>
  <si>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</si>
  <si>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</si>
  <si>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</si>
  <si>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</si>
  <si>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</si>
  <si>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</si>
  <si>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</si>
  <si>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</si>
  <si>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</si>
  <si>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</si>
  <si>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</si>
  <si>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</si>
  <si>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</si>
  <si>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</si>
  <si>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</si>
  <si>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</si>
  <si>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</si>
  <si>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</si>
  <si>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</si>
  <si>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</si>
  <si>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</si>
  <si>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</si>
  <si>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</si>
  <si>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</si>
  <si>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</si>
  <si>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</si>
  <si>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</si>
  <si>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</si>
  <si>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</si>
  <si>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</si>
  <si>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</si>
  <si>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</si>
  <si>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</si>
  <si>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</si>
  <si>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</si>
  <si>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</si>
  <si>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</si>
  <si>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</si>
  <si>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</si>
  <si>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</si>
  <si>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</si>
  <si>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</si>
  <si>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</si>
  <si>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</si>
  <si>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</si>
  <si>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</si>
  <si>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</si>
  <si>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</si>
  <si>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</si>
  <si>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</si>
  <si>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</si>
  <si>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</si>
  <si>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</si>
  <si>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</si>
  <si>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</si>
  <si>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</si>
  <si>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</si>
  <si>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</si>
  <si>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</si>
  <si>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</si>
  <si>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</si>
  <si>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</si>
  <si>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</si>
  <si>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</si>
  <si>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</si>
  <si>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</si>
  <si>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</si>
  <si>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</si>
  <si>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</si>
  <si>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</si>
  <si>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</si>
  <si>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</si>
  <si>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</si>
  <si>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</si>
  <si>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</si>
  <si>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</si>
  <si>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</si>
  <si>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</si>
  <si>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</si>
  <si>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</si>
  <si>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</si>
  <si>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</si>
  <si>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</si>
  <si>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</si>
  <si>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</si>
  <si>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</si>
  <si>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</si>
  <si>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</si>
  <si>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</si>
  <si>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</si>
  <si>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</si>
  <si>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</si>
  <si>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</si>
  <si>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</si>
  <si>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</si>
  <si>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</si>
  <si>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</si>
  <si>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</si>
  <si>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</si>
  <si>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</si>
  <si>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</si>
  <si>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</si>
  <si>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</si>
  <si>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</si>
  <si>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</si>
  <si>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</si>
  <si>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</si>
  <si>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</si>
  <si>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</si>
  <si>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</si>
  <si>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</si>
  <si>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</si>
  <si>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</si>
  <si>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</si>
  <si>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</si>
  <si>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</si>
  <si>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</si>
  <si>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</si>
  <si>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</si>
  <si>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</si>
  <si>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</si>
  <si>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</si>
  <si>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</si>
  <si>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</si>
  <si>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</si>
  <si>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</si>
  <si>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</si>
  <si>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</si>
  <si>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</si>
  <si>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</si>
  <si>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</si>
  <si>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</si>
  <si>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</si>
  <si>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</si>
  <si>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</si>
  <si>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</si>
  <si>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</si>
  <si>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</si>
  <si>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</si>
  <si>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</si>
  <si>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</si>
  <si>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</si>
  <si>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</si>
  <si>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</si>
  <si>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</si>
  <si>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</si>
  <si>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</si>
  <si>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</si>
  <si>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</si>
  <si>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</si>
  <si>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</si>
  <si>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</si>
  <si>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</si>
  <si>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</si>
  <si>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</si>
  <si>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</si>
  <si>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</si>
  <si>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</si>
  <si>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</si>
  <si>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</si>
  <si>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</si>
  <si>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</si>
  <si>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</si>
  <si>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</si>
  <si>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</si>
  <si>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</si>
  <si>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</si>
  <si>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</si>
  <si>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</si>
  <si>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</si>
  <si>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</si>
  <si>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</si>
  <si>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</si>
  <si>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</si>
  <si>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</si>
  <si>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</si>
  <si>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</si>
  <si>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</si>
  <si>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</si>
  <si>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</si>
  <si>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</si>
  <si>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</si>
  <si>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</si>
  <si>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</si>
  <si>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</si>
  <si>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</si>
  <si>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</si>
  <si>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</si>
  <si>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</si>
  <si>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</si>
  <si>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</si>
  <si>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</si>
  <si>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</si>
  <si>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</si>
  <si>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</si>
  <si>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</si>
  <si>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</si>
  <si>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</si>
  <si>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</si>
  <si>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</si>
  <si>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</si>
  <si>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</si>
  <si>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</si>
  <si>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</si>
  <si>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</si>
  <si>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</si>
  <si>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</si>
  <si>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</si>
  <si>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</si>
  <si>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</si>
  <si>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</si>
  <si>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</si>
  <si>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</si>
  <si>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</si>
  <si>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</si>
  <si>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</si>
  <si>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</si>
  <si>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</si>
  <si>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</si>
  <si>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</si>
  <si>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</si>
  <si>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</si>
  <si>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</si>
  <si>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</si>
  <si>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</si>
  <si>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</si>
  <si>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</si>
  <si>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</si>
  <si>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</si>
  <si>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</si>
  <si>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</si>
  <si>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</si>
  <si>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</si>
  <si>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</si>
  <si>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</si>
  <si>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</si>
  <si>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</si>
  <si>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</si>
  <si>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</si>
  <si>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</si>
  <si>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</si>
  <si>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</si>
  <si>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</si>
  <si>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</si>
  <si>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</si>
  <si>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</si>
  <si>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</si>
  <si>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</si>
  <si>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</si>
  <si>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</si>
  <si>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</si>
  <si>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</si>
  <si>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</si>
  <si>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</si>
  <si>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</si>
  <si>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</si>
  <si>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</si>
  <si>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</si>
  <si>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</si>
  <si>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</si>
  <si>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</si>
  <si>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</si>
  <si>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</si>
  <si>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</si>
  <si>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</si>
  <si>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</si>
  <si>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</si>
  <si>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</si>
  <si>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</si>
  <si>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</si>
  <si>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</si>
  <si>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</si>
  <si>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</si>
  <si>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</si>
  <si>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</si>
  <si>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</si>
  <si>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</si>
  <si>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</si>
  <si>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</si>
  <si>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</si>
  <si>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</si>
  <si>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</si>
  <si>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</si>
  <si>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</si>
  <si>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</si>
  <si>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</si>
  <si>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</si>
  <si>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</si>
  <si>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</si>
  <si>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</si>
  <si>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</si>
  <si>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</si>
  <si>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</si>
  <si>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</si>
  <si>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</si>
  <si>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</si>
  <si>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</si>
  <si>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</si>
  <si>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</si>
  <si>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</si>
  <si>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</si>
  <si>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</si>
  <si>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</si>
  <si>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</si>
  <si>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</si>
  <si>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</si>
  <si>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</si>
  <si>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</si>
  <si>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</si>
  <si>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</si>
  <si>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</si>
  <si>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</si>
  <si>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</si>
  <si>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</si>
  <si>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</si>
  <si>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</si>
  <si>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</si>
  <si>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</si>
  <si>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</si>
  <si>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</si>
  <si>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</si>
  <si>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</si>
  <si>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</si>
  <si>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</si>
  <si>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</si>
  <si>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</si>
  <si>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</si>
  <si>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</si>
  <si>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</si>
  <si>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</si>
  <si>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</si>
  <si>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</si>
  <si>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</si>
  <si>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</si>
  <si>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</si>
  <si>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</si>
  <si>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</si>
  <si>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</si>
  <si>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</si>
  <si>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</si>
  <si>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</si>
  <si>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</si>
  <si>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</si>
  <si>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</si>
  <si>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</si>
  <si>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</si>
  <si>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</si>
  <si>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</si>
  <si>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</si>
  <si>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</si>
  <si>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</si>
  <si>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</si>
  <si>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</si>
  <si>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</si>
  <si>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</si>
  <si>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</si>
  <si>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</si>
  <si>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</si>
  <si>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</si>
  <si>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</si>
  <si>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</si>
  <si>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</si>
  <si>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</si>
  <si>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</si>
  <si>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</si>
  <si>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</si>
  <si>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</si>
  <si>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</si>
  <si>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</si>
  <si>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</si>
  <si>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</si>
  <si>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</si>
  <si>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</si>
  <si>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</si>
  <si>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</si>
  <si>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</si>
  <si>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</si>
  <si>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</si>
  <si>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</si>
  <si>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</si>
  <si>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</si>
  <si>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</si>
  <si>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</si>
  <si>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</si>
  <si>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</si>
  <si>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</si>
  <si>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</si>
  <si>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</si>
  <si>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</si>
  <si>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</si>
  <si>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</si>
  <si>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</si>
  <si>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</si>
  <si>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</si>
  <si>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</si>
  <si>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</si>
  <si>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</si>
  <si>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</si>
  <si>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</si>
  <si>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</si>
  <si>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</si>
  <si>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</si>
  <si>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</si>
  <si>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</si>
  <si>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</si>
  <si>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</si>
  <si>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</si>
  <si>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</si>
  <si>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</si>
  <si>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</si>
  <si>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</si>
  <si>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</si>
  <si>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</si>
  <si>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</si>
  <si>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</si>
  <si>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</si>
  <si>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</si>
  <si>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</si>
  <si>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</si>
  <si>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</si>
  <si>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</si>
  <si>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</si>
  <si>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</si>
  <si>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</si>
  <si>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</si>
  <si>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</si>
  <si>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</si>
  <si>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</si>
  <si>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</si>
  <si>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</si>
  <si>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</si>
  <si>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</si>
  <si>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</si>
  <si>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</si>
  <si>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</si>
  <si>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</si>
  <si>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</si>
  <si>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</si>
  <si>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</si>
  <si>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</si>
  <si>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</si>
  <si>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</si>
  <si>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</si>
  <si>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</si>
  <si>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</si>
  <si>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</si>
  <si>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</si>
  <si>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</si>
  <si>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</si>
  <si>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</si>
  <si>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</si>
  <si>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</si>
  <si>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</si>
  <si>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</si>
  <si>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</si>
  <si>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</si>
  <si>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</si>
  <si>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</si>
  <si>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</si>
  <si>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</si>
  <si>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</si>
  <si>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</si>
  <si>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</si>
  <si>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</si>
  <si>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</si>
  <si>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</si>
  <si>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</si>
  <si>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</si>
  <si>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</si>
  <si>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</si>
  <si>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</si>
  <si>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</si>
  <si>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</si>
  <si>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</si>
  <si>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</si>
  <si>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</si>
  <si>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</si>
  <si>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</si>
  <si>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</si>
  <si>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</si>
  <si>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</si>
  <si>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</si>
  <si>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</si>
  <si>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</si>
  <si>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</si>
  <si>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</si>
  <si>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</si>
  <si>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</si>
  <si>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</si>
  <si>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</si>
  <si>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</si>
  <si>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</si>
  <si>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</si>
  <si>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</si>
  <si>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</si>
  <si>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</si>
  <si>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</si>
  <si>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</si>
  <si>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</si>
  <si>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</si>
  <si>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</si>
  <si>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</si>
  <si>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</si>
  <si>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</si>
  <si>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</si>
  <si>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</si>
  <si>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</si>
  <si>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</si>
  <si>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</si>
  <si>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</si>
  <si>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</si>
  <si>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</si>
  <si>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</si>
  <si>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</si>
  <si>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</si>
  <si>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</si>
  <si>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</si>
  <si>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</si>
  <si>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</si>
  <si>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</si>
  <si>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</si>
  <si>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</si>
  <si>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</si>
  <si>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</si>
  <si>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</si>
  <si>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</si>
  <si>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</si>
  <si>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</si>
  <si>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</si>
  <si>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</si>
  <si>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</si>
  <si>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</si>
  <si>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</si>
  <si>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</si>
  <si>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</si>
  <si>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</si>
  <si>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</si>
  <si>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</si>
  <si>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</si>
  <si>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</si>
  <si>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</si>
  <si>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</si>
  <si>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</si>
  <si>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</si>
  <si>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</si>
  <si>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</si>
  <si>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</si>
  <si>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</si>
  <si>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</si>
  <si>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</si>
  <si>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</si>
  <si>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</si>
  <si>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</si>
  <si>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</si>
  <si>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</si>
  <si>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</si>
  <si>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</si>
  <si>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</si>
  <si>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</si>
  <si>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</si>
  <si>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</si>
  <si>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</si>
  <si>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</si>
  <si>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</si>
  <si>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</si>
  <si>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</si>
  <si>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</si>
  <si>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</si>
  <si>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</si>
  <si>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</si>
  <si>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</si>
  <si>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</si>
  <si>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</si>
  <si>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</si>
  <si>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</si>
  <si>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</si>
  <si>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</si>
  <si>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</si>
  <si>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</si>
  <si>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</si>
  <si>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</si>
  <si>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</si>
  <si>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</si>
  <si>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</si>
  <si>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</si>
  <si>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</si>
  <si>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</si>
  <si>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</si>
  <si>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</si>
  <si>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</si>
  <si>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</si>
  <si>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</si>
  <si>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</si>
  <si>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</si>
  <si>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</si>
  <si>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</si>
  <si>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</si>
  <si>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</si>
  <si>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</si>
  <si>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</si>
  <si>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</si>
  <si>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</si>
  <si>
    <t>LA OROTAVA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</si>
</sst>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mnlEpaGuItxd54TRQA2kVK4Q67D5CecPDbYYIZnpOXVkX4qFUkmjL4DE9Z6Kp6o+tSbiDaIoFLpZnKoQX1R2g==" saltValue="+89z8wjFeL+4mYqus+DL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59</v>
      </c>
      <c r="D10" s="229">
        <f>IF(ISNUMBER(Datos!I10),Datos!I10," - ")</f>
        <v>59</v>
      </c>
      <c r="E10" s="230">
        <f>IF(ISNUMBER(Datos!J10),Datos!J10," - ")</f>
        <v>9</v>
      </c>
      <c r="F10" s="230">
        <f>IF(ISNUMBER(Datos!K10),Datos!K10," - ")</f>
        <v>15</v>
      </c>
      <c r="G10" s="1189" t="str">
        <f>IF(Datos!E10&lt;&gt;"",Datos!E10,Datos!D10)</f>
        <v>37</v>
      </c>
      <c r="H10" s="231">
        <f>IF(ISNUMBER(Datos!L10),Datos!L10," - ")</f>
        <v>53</v>
      </c>
      <c r="I10" s="1199" t="str">
        <f>IF(ISNUMBER(Datos!AS10/Datos!BM10),Datos!AS10/Datos!BM10," - ")</f>
        <v xml:space="preserve"> - </v>
      </c>
      <c r="J10" s="1200">
        <f>IF(ISNUMBER(Datos!BY10/Datos!CN10),Datos!BY10/Datos!CN10," - ")</f>
        <v>0</v>
      </c>
      <c r="K10" s="234">
        <f t="shared" ref="K10:K12" si="1">IF(ISNUMBER((E10-F10)/C10),(E10-F10)/C10," - ")</f>
        <v>-0.10169491525423729</v>
      </c>
      <c r="L10" s="1201">
        <f>IF(ISNUMBER(NºAsuntos!I10/NºAsuntos!G10),(NºAsuntos!I10/NºAsuntos!G10)*11," - ")</f>
        <v>38.866666666666667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32.710526315789473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59</v>
      </c>
      <c r="D13" s="1206">
        <f>SUBTOTAL(9,D9:D12)</f>
        <v>59</v>
      </c>
      <c r="E13" s="1207">
        <f>SUBTOTAL(9,E9:E12)</f>
        <v>9</v>
      </c>
      <c r="F13" s="1208">
        <f>SUBTOTAL(9,F9:F12)</f>
        <v>15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758</v>
      </c>
      <c r="D16" s="229">
        <f>IF(ISNUMBER(IF(D_I="SI",Datos!I16,Datos!I16+Datos!AC16)),IF(D_I="SI",Datos!I16,Datos!I16+Datos!AC16)," - ")</f>
        <v>758</v>
      </c>
      <c r="E16" s="230">
        <f>IF(ISNUMBER(IF(D_I="SI",Datos!J16,Datos!J16+Datos!AD16)),IF(D_I="SI",Datos!J16,Datos!J16+Datos!AD16)," - ")</f>
        <v>1178</v>
      </c>
      <c r="F16" s="230">
        <f>IF(ISNUMBER(IF(D_I="SI",Datos!K16,Datos!K16+Datos!AE16)),IF(D_I="SI",Datos!K16,Datos!K16+Datos!AE16)," - ")</f>
        <v>1002</v>
      </c>
      <c r="G16" s="1189" t="str">
        <f>IF(Datos!E16&lt;&gt;"",Datos!E16,Datos!D16)</f>
        <v>04</v>
      </c>
      <c r="H16" s="231">
        <f>IF(ISNUMBER(IF(D_I="SI",Datos!L16,Datos!L16+Datos!AF16)),IF(D_I="SI",Datos!L16,Datos!L16+Datos!AF16)," - ")</f>
        <v>934</v>
      </c>
      <c r="I16" s="1199" t="str">
        <f>IF(ISNUMBER(Datos!AS16/Datos!BM16),Datos!AS16/Datos!BM16," - ")</f>
        <v xml:space="preserve"> - </v>
      </c>
      <c r="J16" s="1200">
        <f>IF(ISNUMBER(Datos!BY16/Datos!CN16),Datos!BY16/Datos!CN16," - ")</f>
        <v>0</v>
      </c>
      <c r="K16" s="234">
        <f t="shared" si="3"/>
        <v>0.23218997361477572</v>
      </c>
      <c r="L16" s="1201">
        <f>IF(ISNUMBER(NºAsuntos!I16/NºAsuntos!G16),(NºAsuntos!I16/NºAsuntos!G16)*11," - ")</f>
        <v>10.253493013972056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110</v>
      </c>
      <c r="D17" s="229">
        <f>IF(ISNUMBER(IF(D_I="SI",Datos!I17,Datos!I17+Datos!AC17)),IF(D_I="SI",Datos!I17,Datos!I17+Datos!AC17)," - ")</f>
        <v>110</v>
      </c>
      <c r="E17" s="230">
        <f>IF(ISNUMBER(IF(D_I="SI",Datos!J17,Datos!J17+Datos!AD17)),IF(D_I="SI",Datos!J17,Datos!J17+Datos!AD17)," - ")</f>
        <v>173</v>
      </c>
      <c r="F17" s="230">
        <f>IF(ISNUMBER(IF(D_I="SI",Datos!K17,Datos!K17+Datos!AE17)),IF(D_I="SI",Datos!K17,Datos!K17+Datos!AE17)," - ")</f>
        <v>168</v>
      </c>
      <c r="G17" s="1189" t="str">
        <f>IF(Datos!E17&lt;&gt;"",Datos!E17,Datos!D17)</f>
        <v>37</v>
      </c>
      <c r="H17" s="231">
        <f>IF(ISNUMBER(IF(D_I="SI",Datos!L17,Datos!L17+Datos!AF17)),IF(D_I="SI",Datos!L17,Datos!L17+Datos!AF17)," - ")</f>
        <v>115</v>
      </c>
      <c r="I17" s="1199" t="str">
        <f>IF(ISNUMBER(Datos!AS17/Datos!BM17),Datos!AS17/Datos!BM17," - ")</f>
        <v xml:space="preserve"> - </v>
      </c>
      <c r="J17" s="1200" t="str">
        <f>IF(ISNUMBER((Datos!BY17+Datos!BZ17)/Datos!CN17),(Datos!BY17+Datos!BZ17)/Datos!CN17," - ")</f>
        <v xml:space="preserve"> - </v>
      </c>
      <c r="K17" s="234">
        <f t="shared" si="3"/>
        <v>4.5454545454545456E-2</v>
      </c>
      <c r="L17" s="1201">
        <f>IF(ISNUMBER(NºAsuntos!I17/NºAsuntos!G17),(NºAsuntos!I17/NºAsuntos!G17)*11," - ")</f>
        <v>7.5297619047619051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868</v>
      </c>
      <c r="D18" s="1206">
        <f>SUBTOTAL(9,D15:D17)</f>
        <v>868</v>
      </c>
      <c r="E18" s="1207">
        <f>SUBTOTAL(9,E15:E17)</f>
        <v>1351</v>
      </c>
      <c r="F18" s="1207">
        <f>SUBTOTAL(9,F15:F17)</f>
        <v>1170</v>
      </c>
      <c r="G18" s="1209" t="str">
        <f ca="1">INDIRECT(CONCATENATE("G",ROW()-1))</f>
        <v>37</v>
      </c>
      <c r="H18" s="1210">
        <f ca="1">SUMIF(G$14:G17,G18,H$14:H17)</f>
        <v>115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927</v>
      </c>
      <c r="D19" s="1228">
        <f>SUBTOTAL(9,D9:D18)</f>
        <v>927</v>
      </c>
      <c r="E19" s="1229">
        <f>SUBTOTAL(9,E9:E18)</f>
        <v>1360</v>
      </c>
      <c r="F19" s="1229">
        <f>SUBTOTAL(9,F9:F18)</f>
        <v>1185</v>
      </c>
      <c r="G19" s="1230"/>
      <c r="H19" s="1231">
        <f ca="1">SUMIF(B9:B18,"TOTAL",H9:H18)</f>
        <v>115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6ga/6+/xWOoCt5ZR08GWxFeD6pMlhaoR4kkce2CFpbzCmhMXp/ssu7J77eOhd1uNct3oCuM3JoeTlvvpl8xPeQ==" saltValue="vn6uvNqRK3qcwjVpCWyxk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BYf8McjJtNtRus9bvrSvRuEsN4kzWLJrdMTkgcId2oYX0Gq7kaodDU6pyNl0VGOBxzVJpj926SXDBCRU+FTVA==" saltValue="TezDs+H2zE5E0hkpZ2Cl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59</v>
      </c>
      <c r="J10" s="185">
        <v>9</v>
      </c>
      <c r="K10" s="185">
        <v>15</v>
      </c>
      <c r="L10" s="185">
        <v>53</v>
      </c>
      <c r="M10" s="185">
        <v>7</v>
      </c>
      <c r="N10" s="185">
        <v>6</v>
      </c>
      <c r="O10" s="185">
        <v>1</v>
      </c>
      <c r="P10" s="185">
        <v>0</v>
      </c>
      <c r="Q10" s="185">
        <v>0</v>
      </c>
      <c r="R10" s="185">
        <v>0</v>
      </c>
      <c r="S10" s="185">
        <v>45</v>
      </c>
      <c r="T10" s="185">
        <v>7</v>
      </c>
      <c r="U10" s="185">
        <v>11</v>
      </c>
      <c r="V10" s="185">
        <v>41</v>
      </c>
      <c r="W10" s="185">
        <v>8</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45</v>
      </c>
      <c r="AZ10" s="130">
        <f t="shared" si="0"/>
        <v>7</v>
      </c>
      <c r="BA10" s="130">
        <f t="shared" si="0"/>
        <v>11</v>
      </c>
      <c r="BB10" s="130">
        <f t="shared" si="0"/>
        <v>41</v>
      </c>
      <c r="BC10" s="126">
        <f t="shared" si="0"/>
        <v>8</v>
      </c>
      <c r="BD10" s="127">
        <f>IF(ISNUMBER(BA10/AZ10),BA10/AZ10," - ")</f>
        <v>1.5714285714285714</v>
      </c>
      <c r="BE10" s="128">
        <f>IF(ISNUMBER(BB10/BA10),BB10/BA10, " - ")</f>
        <v>3.7272727272727271</v>
      </c>
      <c r="BF10" s="128">
        <f>IF(ISNUMBER(BC10/BA10),BC10/BA10, " - ")</f>
        <v>0.72727272727272729</v>
      </c>
      <c r="BG10" s="200">
        <f>IF(ISNUMBER((AY10+AZ10)/BA10),(AY10+AZ10)/BA10," - ")</f>
        <v>4.7272727272727275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2568</v>
      </c>
      <c r="J12" s="187">
        <v>1153</v>
      </c>
      <c r="K12" s="187">
        <v>938</v>
      </c>
      <c r="L12" s="187">
        <v>2783</v>
      </c>
      <c r="M12" s="187">
        <v>274</v>
      </c>
      <c r="N12" s="187">
        <v>331</v>
      </c>
      <c r="O12" s="185">
        <v>263</v>
      </c>
      <c r="P12" s="187">
        <v>281</v>
      </c>
      <c r="Q12" s="187">
        <v>132</v>
      </c>
      <c r="R12" s="187">
        <v>6941</v>
      </c>
      <c r="S12" s="187">
        <v>2468</v>
      </c>
      <c r="T12" s="187">
        <v>924</v>
      </c>
      <c r="U12" s="187">
        <v>1018</v>
      </c>
      <c r="V12" s="187">
        <v>2374</v>
      </c>
      <c r="W12" s="187">
        <v>220</v>
      </c>
      <c r="X12" s="193">
        <v>309</v>
      </c>
      <c r="Y12" s="195">
        <v>35</v>
      </c>
      <c r="Z12" s="185">
        <v>19</v>
      </c>
      <c r="AA12" s="185">
        <v>12</v>
      </c>
      <c r="AB12" s="185">
        <v>42</v>
      </c>
      <c r="AC12" s="187">
        <v>0</v>
      </c>
      <c r="AD12" s="187">
        <v>0</v>
      </c>
      <c r="AE12" s="187">
        <v>0</v>
      </c>
      <c r="AF12" s="193">
        <v>0</v>
      </c>
      <c r="AG12" s="206">
        <v>66</v>
      </c>
      <c r="AH12" s="187">
        <v>26</v>
      </c>
      <c r="AI12" s="187">
        <v>26</v>
      </c>
      <c r="AJ12" s="207">
        <v>66</v>
      </c>
      <c r="AK12" s="186">
        <v>0</v>
      </c>
      <c r="AL12" s="187">
        <v>0</v>
      </c>
      <c r="AM12" s="187">
        <v>0</v>
      </c>
      <c r="AN12" s="193">
        <v>0</v>
      </c>
      <c r="AO12" s="263">
        <v>5</v>
      </c>
      <c r="AP12" s="159">
        <v>5</v>
      </c>
      <c r="AQ12" s="159">
        <v>5</v>
      </c>
      <c r="AR12" s="158">
        <v>5</v>
      </c>
      <c r="AS12" s="349" t="s">
        <v>811</v>
      </c>
      <c r="AT12" s="207"/>
      <c r="AU12" s="206"/>
      <c r="AV12" s="207"/>
      <c r="AW12" s="206"/>
      <c r="AX12" s="207"/>
      <c r="AY12" s="127">
        <f t="shared" si="1"/>
        <v>2534</v>
      </c>
      <c r="AZ12" s="128">
        <f t="shared" si="1"/>
        <v>950</v>
      </c>
      <c r="BA12" s="128">
        <f t="shared" si="1"/>
        <v>1044</v>
      </c>
      <c r="BB12" s="128">
        <f t="shared" si="1"/>
        <v>2440</v>
      </c>
      <c r="BC12" s="126">
        <f>IF(ISNUMBER(X12),X12," - ")</f>
        <v>309</v>
      </c>
      <c r="BD12" s="127">
        <f t="shared" si="2"/>
        <v>1.0989473684210527</v>
      </c>
      <c r="BE12" s="128">
        <f t="shared" si="3"/>
        <v>2.3371647509578546</v>
      </c>
      <c r="BF12" s="128">
        <f t="shared" si="4"/>
        <v>0.29597701149425287</v>
      </c>
      <c r="BG12" s="200">
        <f t="shared" si="5"/>
        <v>3.3371647509578546</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2627</v>
      </c>
      <c r="J13" s="188">
        <f t="shared" si="6"/>
        <v>1162</v>
      </c>
      <c r="K13" s="188">
        <f t="shared" si="6"/>
        <v>953</v>
      </c>
      <c r="L13" s="188">
        <f t="shared" si="6"/>
        <v>2836</v>
      </c>
      <c r="M13" s="188">
        <f t="shared" si="6"/>
        <v>281</v>
      </c>
      <c r="N13" s="188">
        <f t="shared" si="6"/>
        <v>337</v>
      </c>
      <c r="O13" s="188">
        <f t="shared" si="6"/>
        <v>264</v>
      </c>
      <c r="P13" s="188">
        <f t="shared" si="6"/>
        <v>281</v>
      </c>
      <c r="Q13" s="188">
        <f t="shared" si="6"/>
        <v>132</v>
      </c>
      <c r="R13" s="188">
        <f t="shared" si="6"/>
        <v>6941</v>
      </c>
      <c r="S13" s="188">
        <f t="shared" si="6"/>
        <v>2513</v>
      </c>
      <c r="T13" s="188">
        <f t="shared" si="6"/>
        <v>931</v>
      </c>
      <c r="U13" s="188">
        <f t="shared" si="6"/>
        <v>1029</v>
      </c>
      <c r="V13" s="188">
        <f t="shared" si="6"/>
        <v>2415</v>
      </c>
      <c r="W13" s="188">
        <f t="shared" si="6"/>
        <v>228</v>
      </c>
      <c r="X13" s="188">
        <f t="shared" si="6"/>
        <v>312</v>
      </c>
      <c r="Y13" s="188">
        <f t="shared" si="6"/>
        <v>35</v>
      </c>
      <c r="Z13" s="188">
        <f t="shared" si="6"/>
        <v>19</v>
      </c>
      <c r="AA13" s="188">
        <f t="shared" si="6"/>
        <v>12</v>
      </c>
      <c r="AB13" s="188">
        <f t="shared" si="6"/>
        <v>42</v>
      </c>
      <c r="AC13" s="188">
        <f t="shared" si="6"/>
        <v>0</v>
      </c>
      <c r="AD13" s="188">
        <f t="shared" si="6"/>
        <v>0</v>
      </c>
      <c r="AE13" s="188">
        <f t="shared" si="6"/>
        <v>0</v>
      </c>
      <c r="AF13" s="188">
        <f>SUBTOTAL(9,AF9:AF12)</f>
        <v>0</v>
      </c>
      <c r="AG13" s="188">
        <f t="shared" ref="AG13:AT13" si="7">SUBTOTAL(9,AG8:AG12)</f>
        <v>66</v>
      </c>
      <c r="AH13" s="188">
        <f t="shared" si="7"/>
        <v>26</v>
      </c>
      <c r="AI13" s="188">
        <f t="shared" si="7"/>
        <v>26</v>
      </c>
      <c r="AJ13" s="188">
        <f t="shared" si="7"/>
        <v>66</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2579</v>
      </c>
      <c r="AZ13" s="188">
        <f>SUBTOTAL(9,AZ8:AZ12)</f>
        <v>957</v>
      </c>
      <c r="BA13" s="188">
        <f>SUBTOTAL(9,BA8:BA12)</f>
        <v>1055</v>
      </c>
      <c r="BB13" s="188">
        <f>SUBTOTAL(9,BB8:BB12)</f>
        <v>2481</v>
      </c>
      <c r="BC13" s="188">
        <f>SUBTOTAL(9,BC8:BC12)</f>
        <v>317</v>
      </c>
      <c r="BD13" s="209">
        <f>IF(ISNUMBER(BA13/AZ13),BA13/AZ13," - ")</f>
        <v>1.1024033437826541</v>
      </c>
      <c r="BE13" s="210">
        <f>IF(ISNUMBER(BB13/BA13),BB13/BA13, " - ")</f>
        <v>2.3516587677725118</v>
      </c>
      <c r="BF13" s="210">
        <f>IF(ISNUMBER(BC13/BA13),BC13/BA13, " - ")</f>
        <v>0.30047393364928909</v>
      </c>
      <c r="BG13" s="211">
        <f>IF(ISNUMBER((AY13+AZ13)/BA13),(AY13+AZ13)/BA13," - ")</f>
        <v>3.3516587677725118</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758</v>
      </c>
      <c r="J16" s="187">
        <v>1178</v>
      </c>
      <c r="K16" s="187">
        <v>1002</v>
      </c>
      <c r="L16" s="187">
        <v>934</v>
      </c>
      <c r="M16" s="187">
        <v>131</v>
      </c>
      <c r="N16" s="187">
        <v>589</v>
      </c>
      <c r="O16" s="185">
        <v>24</v>
      </c>
      <c r="P16" s="187">
        <v>71</v>
      </c>
      <c r="Q16" s="187">
        <v>75</v>
      </c>
      <c r="R16" s="187">
        <v>206</v>
      </c>
      <c r="S16" s="187">
        <v>1095</v>
      </c>
      <c r="T16" s="187">
        <v>1163</v>
      </c>
      <c r="U16" s="187">
        <v>1072</v>
      </c>
      <c r="V16" s="187">
        <v>1186</v>
      </c>
      <c r="W16" s="187">
        <v>124</v>
      </c>
      <c r="X16" s="193">
        <v>616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5</v>
      </c>
      <c r="AP16" s="159">
        <v>5</v>
      </c>
      <c r="AQ16" s="159">
        <v>5</v>
      </c>
      <c r="AR16" s="159">
        <v>5</v>
      </c>
      <c r="AS16" s="349" t="s">
        <v>491</v>
      </c>
      <c r="AT16" s="207"/>
      <c r="AU16" s="206"/>
      <c r="AV16" s="207"/>
      <c r="AW16" s="206"/>
      <c r="AX16" s="207"/>
      <c r="AY16" s="127">
        <f t="shared" si="9"/>
        <v>1095</v>
      </c>
      <c r="AZ16" s="128">
        <f t="shared" si="9"/>
        <v>1163</v>
      </c>
      <c r="BA16" s="128">
        <f t="shared" si="9"/>
        <v>1072</v>
      </c>
      <c r="BB16" s="128">
        <f t="shared" si="9"/>
        <v>1186</v>
      </c>
      <c r="BC16" s="126">
        <f>IF(ISNUMBER(W16),W16," - ")</f>
        <v>124</v>
      </c>
      <c r="BD16" s="127">
        <f t="shared" ref="BD16" si="11">IF(ISNUMBER(BA16/AZ16),BA16/AZ16," - ")</f>
        <v>0.9217540842648323</v>
      </c>
      <c r="BE16" s="128">
        <f t="shared" ref="BE16" si="12">IF(ISNUMBER(BB16/BA16),BB16/BA16, " - ")</f>
        <v>1.1063432835820894</v>
      </c>
      <c r="BF16" s="128">
        <f t="shared" ref="BF16" si="13">IF(ISNUMBER(BC16/BA16),BC16/BA16, " - ")</f>
        <v>0.11567164179104478</v>
      </c>
      <c r="BG16" s="200">
        <f t="shared" si="10"/>
        <v>2.1063432835820897</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110</v>
      </c>
      <c r="J17" s="187">
        <v>173</v>
      </c>
      <c r="K17" s="187">
        <v>168</v>
      </c>
      <c r="L17" s="187">
        <v>115</v>
      </c>
      <c r="M17" s="187">
        <v>29</v>
      </c>
      <c r="N17" s="187">
        <v>120</v>
      </c>
      <c r="O17" s="187">
        <v>0</v>
      </c>
      <c r="P17" s="187">
        <v>3</v>
      </c>
      <c r="Q17" s="187">
        <v>1</v>
      </c>
      <c r="R17" s="187">
        <v>8</v>
      </c>
      <c r="S17" s="187">
        <v>133</v>
      </c>
      <c r="T17" s="187">
        <v>139</v>
      </c>
      <c r="U17" s="187">
        <v>138</v>
      </c>
      <c r="V17" s="187">
        <v>134</v>
      </c>
      <c r="W17" s="187">
        <v>19</v>
      </c>
      <c r="X17" s="193">
        <v>84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133</v>
      </c>
      <c r="AZ17" s="130">
        <f t="shared" si="14"/>
        <v>139</v>
      </c>
      <c r="BA17" s="130">
        <f t="shared" si="14"/>
        <v>138</v>
      </c>
      <c r="BB17" s="130">
        <f t="shared" si="14"/>
        <v>134</v>
      </c>
      <c r="BC17" s="126">
        <f>IF(ISNUMBER(W17),W17," - ")</f>
        <v>19</v>
      </c>
      <c r="BD17" s="127">
        <f>IF(ISNUMBER(BA17/AZ17),BA17/AZ17," - ")</f>
        <v>0.9928057553956835</v>
      </c>
      <c r="BE17" s="128">
        <f>IF(ISNUMBER(BB17/BA17),BB17/BA17, " - ")</f>
        <v>0.97101449275362317</v>
      </c>
      <c r="BF17" s="128">
        <f>IF(ISNUMBER(BC17/BA17),BC17/BA17, " - ")</f>
        <v>0.13768115942028986</v>
      </c>
      <c r="BG17" s="200">
        <f>IF(ISNUMBER((AY17+AZ17)/BA17),(AY17+AZ17)/BA17," - ")</f>
        <v>1.9710144927536233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868</v>
      </c>
      <c r="J18" s="188">
        <f t="shared" si="15"/>
        <v>1351</v>
      </c>
      <c r="K18" s="188">
        <f t="shared" si="15"/>
        <v>1170</v>
      </c>
      <c r="L18" s="188">
        <f t="shared" si="15"/>
        <v>1049</v>
      </c>
      <c r="M18" s="188">
        <f t="shared" si="15"/>
        <v>160</v>
      </c>
      <c r="N18" s="188">
        <f t="shared" si="15"/>
        <v>709</v>
      </c>
      <c r="O18" s="188">
        <f t="shared" si="15"/>
        <v>24</v>
      </c>
      <c r="P18" s="188">
        <f t="shared" si="15"/>
        <v>74</v>
      </c>
      <c r="Q18" s="188">
        <f t="shared" si="15"/>
        <v>76</v>
      </c>
      <c r="R18" s="188">
        <f t="shared" si="15"/>
        <v>214</v>
      </c>
      <c r="S18" s="188">
        <f t="shared" si="15"/>
        <v>1228</v>
      </c>
      <c r="T18" s="188">
        <f t="shared" si="15"/>
        <v>1302</v>
      </c>
      <c r="U18" s="188">
        <f t="shared" si="15"/>
        <v>1210</v>
      </c>
      <c r="V18" s="188">
        <f t="shared" si="15"/>
        <v>1320</v>
      </c>
      <c r="W18" s="188">
        <f t="shared" si="15"/>
        <v>143</v>
      </c>
      <c r="X18" s="188">
        <f t="shared" si="15"/>
        <v>700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1228</v>
      </c>
      <c r="AZ18" s="188">
        <f>SUBTOTAL(9,AZ14:AZ17)</f>
        <v>1302</v>
      </c>
      <c r="BA18" s="188">
        <f>SUBTOTAL(9,BA14:BA17)</f>
        <v>1210</v>
      </c>
      <c r="BB18" s="188">
        <f>SUBTOTAL(9,BB14:BB17)</f>
        <v>1320</v>
      </c>
      <c r="BC18" s="188">
        <f>SUBTOTAL(9,BC14:BC17)</f>
        <v>143</v>
      </c>
      <c r="BD18" s="209">
        <f>IF(ISNUMBER(BA18/AZ18),BA18/AZ18," - ")</f>
        <v>0.92933947772657455</v>
      </c>
      <c r="BE18" s="210">
        <f>IF(ISNUMBER(BB18/BA18),BB18/BA18, " - ")</f>
        <v>1.0909090909090908</v>
      </c>
      <c r="BF18" s="210">
        <f>IF(ISNUMBER(BC18/BA18),BC18/BA18, " - ")</f>
        <v>0.11818181818181818</v>
      </c>
      <c r="BG18" s="211">
        <f>IF(ISNUMBER((AY18+AZ18)/BA18),(AY18+AZ18)/BA18," - ")</f>
        <v>2.0909090909090908</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3495</v>
      </c>
      <c r="J19" s="135">
        <f t="shared" si="18"/>
        <v>2513</v>
      </c>
      <c r="K19" s="135">
        <f t="shared" si="18"/>
        <v>2123</v>
      </c>
      <c r="L19" s="135">
        <f t="shared" si="18"/>
        <v>3885</v>
      </c>
      <c r="M19" s="135">
        <f t="shared" si="18"/>
        <v>441</v>
      </c>
      <c r="N19" s="135">
        <f t="shared" si="18"/>
        <v>1046</v>
      </c>
      <c r="O19" s="135">
        <f t="shared" si="18"/>
        <v>288</v>
      </c>
      <c r="P19" s="135">
        <f t="shared" si="18"/>
        <v>355</v>
      </c>
      <c r="Q19" s="135">
        <f t="shared" si="18"/>
        <v>208</v>
      </c>
      <c r="R19" s="135">
        <f t="shared" si="18"/>
        <v>7155</v>
      </c>
      <c r="S19" s="135">
        <f t="shared" si="18"/>
        <v>3741</v>
      </c>
      <c r="T19" s="135">
        <f t="shared" si="18"/>
        <v>2233</v>
      </c>
      <c r="U19" s="135">
        <f t="shared" si="18"/>
        <v>2239</v>
      </c>
      <c r="V19" s="135">
        <f t="shared" si="18"/>
        <v>3735</v>
      </c>
      <c r="W19" s="135">
        <f t="shared" si="18"/>
        <v>371</v>
      </c>
      <c r="X19" s="135">
        <f t="shared" si="18"/>
        <v>1012</v>
      </c>
      <c r="Y19" s="135">
        <f t="shared" si="18"/>
        <v>35</v>
      </c>
      <c r="Z19" s="135">
        <f t="shared" si="18"/>
        <v>19</v>
      </c>
      <c r="AA19" s="135">
        <f t="shared" si="18"/>
        <v>12</v>
      </c>
      <c r="AB19" s="135">
        <f t="shared" si="18"/>
        <v>42</v>
      </c>
      <c r="AC19" s="135">
        <f t="shared" si="18"/>
        <v>0</v>
      </c>
      <c r="AD19" s="135">
        <f t="shared" si="18"/>
        <v>0</v>
      </c>
      <c r="AE19" s="135">
        <f t="shared" si="18"/>
        <v>0</v>
      </c>
      <c r="AF19" s="135">
        <f t="shared" si="18"/>
        <v>0</v>
      </c>
      <c r="AG19" s="135">
        <f t="shared" si="18"/>
        <v>66</v>
      </c>
      <c r="AH19" s="135">
        <f t="shared" si="18"/>
        <v>26</v>
      </c>
      <c r="AI19" s="135">
        <f t="shared" si="18"/>
        <v>26</v>
      </c>
      <c r="AJ19" s="135">
        <f t="shared" si="18"/>
        <v>66</v>
      </c>
      <c r="AK19" s="135">
        <f t="shared" si="18"/>
        <v>0</v>
      </c>
      <c r="AL19" s="135">
        <f t="shared" si="18"/>
        <v>0</v>
      </c>
      <c r="AM19" s="135">
        <f t="shared" si="18"/>
        <v>0</v>
      </c>
      <c r="AN19" s="214">
        <f t="shared" si="18"/>
        <v>0</v>
      </c>
      <c r="AO19" s="215">
        <v>6</v>
      </c>
      <c r="AP19" s="215">
        <v>5</v>
      </c>
      <c r="AQ19" s="215">
        <v>5</v>
      </c>
      <c r="AR19" s="215">
        <v>5</v>
      </c>
      <c r="AS19" s="157">
        <f t="shared" si="18"/>
        <v>0</v>
      </c>
      <c r="AT19" s="157">
        <f t="shared" si="18"/>
        <v>0</v>
      </c>
      <c r="AU19" s="215"/>
      <c r="AV19" s="216"/>
      <c r="AW19" s="215"/>
      <c r="AX19" s="216"/>
      <c r="AY19" s="134">
        <f>SUBTOTAL(9,AY9:AY18)</f>
        <v>3807</v>
      </c>
      <c r="AZ19" s="135">
        <f>SUBTOTAL(9,AZ9:AZ18)</f>
        <v>2259</v>
      </c>
      <c r="BA19" s="135">
        <f>SUBTOTAL(9,BA9:BA18)</f>
        <v>2265</v>
      </c>
      <c r="BB19" s="135">
        <f>SUBTOTAL(9,BB9:BB18)</f>
        <v>3801</v>
      </c>
      <c r="BC19" s="136">
        <f>SUBTOTAL(9,BC9:BC18)</f>
        <v>460</v>
      </c>
      <c r="BD19" s="217">
        <f>IF(ISNUMBER(BA19/AZ19),BA19/AZ19," - ")</f>
        <v>1.0026560424966799</v>
      </c>
      <c r="BE19" s="214">
        <f>IF(ISNUMBER(BB19/BA19),BB19/BA19, " - ")</f>
        <v>1.6781456953642384</v>
      </c>
      <c r="BF19" s="214">
        <f>IF(ISNUMBER(BC19/BA19),BC19/BA19, " - ")</f>
        <v>0.20309050772626933</v>
      </c>
      <c r="BG19" s="136">
        <f>IF(ISNUMBER((AY19+AZ19)/BA19),(AY19+AZ19)/BA19," - ")</f>
        <v>2.6781456953642384</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a8g0C1CMtl1a7z+Y3Q+xCsvgUBmB6kESqmoyrJ1xN70k18K/ssqyVEykZ8FMZp9hs18KgGzxLd4B0tLKKQPoQ==" saltValue="GYpRmq8Gofm7Q7A4TMJxU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Z2X3uoKcIP86qm+v6rKwsWeZgUtqY2S3GmO77Bny42SHZmtremAYsVpQbrb8XivOQCMLEC3uu0W4ddWO3Scvg==" saltValue="pJRF4WEmkS9psdFuGbe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LA OROTAVA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59</v>
      </c>
      <c r="G10" s="497">
        <f>IF(ISNUMBER(Datos!I10),Datos!I10," - ")</f>
        <v>59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15</v>
      </c>
      <c r="AC10" s="501">
        <f>IF(ISNUMBER(Datos!Q10),Datos!Q10," - ")</f>
        <v>0</v>
      </c>
      <c r="AD10" s="503"/>
      <c r="AE10" s="516"/>
      <c r="AF10" s="505">
        <f>IF(ISNUMBER(Datos!L10),Datos!L10,"-")</f>
        <v>53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6</v>
      </c>
      <c r="BE10" s="619" t="str">
        <f>IF(ISNUMBER(Datos!BW10),Datos!BW10," - ")</f>
        <v xml:space="preserve"> - </v>
      </c>
      <c r="BF10" s="667" t="str">
        <f>IF(ISNUMBER(Datos!BX10),Datos!BX10," - ")</f>
        <v xml:space="preserve"> - </v>
      </c>
      <c r="BG10" s="668">
        <f>IF(ISNUMBER(Datos!K10/Datos!J10),Datos!K10/Datos!J10," - ")</f>
        <v>1.6666666666666667</v>
      </c>
      <c r="BH10" s="669">
        <f>IF(ISNUMBER(((Datos!L10/Datos!K10)*11)/factor_trimestre),((Datos!L10/Datos!K10)*11)/factor_trimestre," - ")</f>
        <v>7.0666666666666664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19</v>
      </c>
      <c r="O12" s="503"/>
      <c r="P12" s="503"/>
      <c r="Q12" s="501">
        <f>IF(ISNUMBER(Datos!P12),Datos!P12,0)</f>
        <v>281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42</v>
      </c>
      <c r="AI12" s="503" t="str">
        <f>IF(ISNUMBER(Datos!CD12),Datos!CD12,"-")</f>
        <v>-</v>
      </c>
      <c r="AJ12" s="503" t="str">
        <f>IF(ISNUMBER(Datos!EN12),Datos!EN12," - ")</f>
        <v xml:space="preserve"> - </v>
      </c>
      <c r="AK12" s="503"/>
      <c r="AL12" s="504"/>
      <c r="AM12" s="671">
        <f>IF(ISNUMBER(Datos!R12),Datos!R12," - ")</f>
        <v>6941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274</v>
      </c>
      <c r="BD12" s="619">
        <f>IF(ISNUMBER(Datos!N12),Datos!N12," - ")</f>
        <v>331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0.81058020477815695</v>
      </c>
      <c r="BH12" s="669">
        <f>IF(ISNUMBER(((IF(J_V="SI",Datos!L12/Datos!K12,(Datos!L12+Datos!AB12)/(Datos!K12+Datos!AA12)))*11)/factor_trimestre),((IF(J_V="SI",Datos!L12/Datos!K12,(Datos!L12+Datos!AB12)/(Datos!K12+Datos!AA12)))*11)/factor_trimestre," - ")</f>
        <v>5.947368421052631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2.1937573616018845E-2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59</v>
      </c>
      <c r="G13" s="1044">
        <f t="shared" si="0"/>
        <v>59</v>
      </c>
      <c r="H13" s="1045">
        <f t="shared" si="0"/>
        <v>0</v>
      </c>
      <c r="I13" s="1044">
        <f t="shared" si="0"/>
        <v>0</v>
      </c>
      <c r="J13" s="1013">
        <f t="shared" si="0"/>
        <v>0</v>
      </c>
      <c r="K13" s="1013">
        <f t="shared" si="0"/>
        <v>0</v>
      </c>
      <c r="L13" s="1045">
        <f t="shared" si="0"/>
        <v>0</v>
      </c>
      <c r="M13" s="1045">
        <f t="shared" si="0"/>
        <v>0</v>
      </c>
      <c r="N13" s="1045">
        <f t="shared" si="0"/>
        <v>19</v>
      </c>
      <c r="O13" s="1046">
        <f t="shared" si="0"/>
        <v>0</v>
      </c>
      <c r="P13" s="1046">
        <f t="shared" si="0"/>
        <v>0</v>
      </c>
      <c r="Q13" s="1045">
        <f t="shared" si="0"/>
        <v>281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15</v>
      </c>
      <c r="AC13" s="1045">
        <f t="shared" si="1"/>
        <v>132</v>
      </c>
      <c r="AD13" s="1045">
        <f t="shared" si="1"/>
        <v>0</v>
      </c>
      <c r="AE13" s="1045">
        <f t="shared" si="1"/>
        <v>0</v>
      </c>
      <c r="AF13" s="1045">
        <f t="shared" si="1"/>
        <v>53</v>
      </c>
      <c r="AG13" s="1045">
        <f t="shared" si="1"/>
        <v>0</v>
      </c>
      <c r="AH13" s="1045">
        <f t="shared" si="1"/>
        <v>42</v>
      </c>
      <c r="AI13" s="1045">
        <f t="shared" si="1"/>
        <v>0</v>
      </c>
      <c r="AJ13" s="1045">
        <f t="shared" si="1"/>
        <v>0</v>
      </c>
      <c r="AK13" s="1045">
        <f t="shared" si="1"/>
        <v>0</v>
      </c>
      <c r="AL13" s="1045">
        <f t="shared" si="1"/>
        <v>0</v>
      </c>
      <c r="AM13" s="1045">
        <f t="shared" si="1"/>
        <v>6941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281</v>
      </c>
      <c r="BD13" s="1045">
        <f t="shared" si="1"/>
        <v>337</v>
      </c>
      <c r="BE13" s="1045">
        <f t="shared" si="1"/>
        <v>0</v>
      </c>
      <c r="BF13" s="1045">
        <f t="shared" si="1"/>
        <v>0</v>
      </c>
      <c r="BG13" s="1045">
        <f>IF(ISNUMBER(Datos!K13/Datos!J13),Datos!K13/Datos!J13," - ")</f>
        <v>0.82013769363166955</v>
      </c>
      <c r="BH13" s="1049">
        <f>IF(ISNUMBER(((Datos!L13/Datos!K13)*11)/factor_trimestre),((Datos!L13/Datos!K13)*11)/factor_trimestre," - ")</f>
        <v>5.9517313746065064</v>
      </c>
      <c r="BI13" s="1045">
        <f>IF(ISNUMBER('Resol  Asuntos'!D13/NºAsuntos!G13),'Resol  Asuntos'!D13/NºAsuntos!G13," - ")</f>
        <v>0.29119170984455961</v>
      </c>
      <c r="BJ13" s="1045" t="str">
        <f>IF(ISNUMBER(Datos!CI13/Datos!CJ13),Datos!CI13/Datos!CJ13," - ")</f>
        <v xml:space="preserve"> - </v>
      </c>
      <c r="BK13" s="1045">
        <f>SUBTOTAL(9,BK8:BK12)</f>
        <v>0</v>
      </c>
      <c r="BL13" s="1045">
        <f>IF(ISNUMBER((I13-AB13+L13)/(F13)),(I13-AB13+L13)/(F13)," - ")</f>
        <v>-0.25423728813559321</v>
      </c>
      <c r="BM13" s="1050">
        <f>SUBTOTAL(9,BM9:BM12)</f>
        <v>2.1937573616018845E-2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758</v>
      </c>
      <c r="G16" s="650">
        <f>IF(ISNUMBER(IF(D_I="SI",Datos!I16,Datos!I16+Datos!AC16)),IF(D_I="SI",Datos!I16,Datos!I16+Datos!AC16)," - ")</f>
        <v>758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1002</v>
      </c>
      <c r="AC16" s="230">
        <f>IF(ISNUMBER(Datos!Q16),Datos!Q16," - ")</f>
        <v>75</v>
      </c>
      <c r="AD16" s="343"/>
      <c r="AE16" s="515"/>
      <c r="AF16" s="648">
        <f>IF(ISNUMBER(IF(D_I="SI",Datos!L16,Datos!L16+Datos!AF16)),IF(D_I="SI",Datos!L16,Datos!L16+Datos!AF16)," - ")</f>
        <v>934</v>
      </c>
      <c r="AG16" s="343"/>
      <c r="AH16" s="343"/>
      <c r="AI16" s="343"/>
      <c r="AJ16" s="503"/>
      <c r="AK16" s="343"/>
      <c r="AL16" s="499"/>
      <c r="AM16" s="344">
        <f>IF(ISNUMBER(Datos!R16),Datos!R16," - ")</f>
        <v>206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131</v>
      </c>
      <c r="BD16" s="233">
        <f>IF(ISNUMBER(Datos!N16),Datos!N16," - ")</f>
        <v>589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0.85059422750424452</v>
      </c>
      <c r="BH16" s="669">
        <f>IF(ISNUMBER(((IF(D_I="SI",Datos!L16/Datos!K16,(Datos!L16+Datos!AF16)/(Datos!K16+Datos!AE16)))*11)/factor_trimestre),((IF(D_I="SI",Datos!L16/Datos!K16,(Datos!L16+Datos!AF16)/(Datos!K16+Datos!AE16)))*11)/factor_trimestre," - ")</f>
        <v>1.8642714570858283</v>
      </c>
      <c r="BI16" s="247">
        <f>IF(ISNUMBER('Resol  Asuntos'!D16/NºAsuntos!G16),'Resol  Asuntos'!D16/NºAsuntos!G16," - ")</f>
        <v>0.13073852295409183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168</v>
      </c>
      <c r="AC17" s="501">
        <f>IF(ISNUMBER(Datos!Q17),Datos!Q17," - ")</f>
        <v>1</v>
      </c>
      <c r="AD17" s="503"/>
      <c r="AE17" s="515"/>
      <c r="AF17" s="505">
        <f>IF(ISNUMBER(Datos!L17),Datos!L17,"-")</f>
        <v>115</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29</v>
      </c>
      <c r="BD17" s="619">
        <f>IF(ISNUMBER(Datos!N17),Datos!N17," - ")</f>
        <v>120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0.97109826589595372</v>
      </c>
      <c r="BH17" s="669">
        <f>IF(ISNUMBER(((IF(D_I="SI",Datos!L17/Datos!K17,(Datos!L17+Datos!AF17)/(Datos!K17+Datos!AE17)))*11)/factor_trimestre),((IF(D_I="SI",Datos!L17/Datos!K17,(Datos!L17+Datos!AF17)/(Datos!K17+Datos!AE17)))*11)/factor_trimestre," - ")</f>
        <v>1.3690476190476191</v>
      </c>
      <c r="BI17" s="668">
        <f>IF(ISNUMBER('Resol  Asuntos'!D17/NºAsuntos!G17),'Resol  Asuntos'!D17/NºAsuntos!G17," - ")</f>
        <v>0.17261904761904762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758</v>
      </c>
      <c r="G18" s="1044">
        <f>SUBTOTAL(9,G15:G17)</f>
        <v>868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1170</v>
      </c>
      <c r="AC18" s="1045">
        <f t="shared" si="4"/>
        <v>76</v>
      </c>
      <c r="AD18" s="1045">
        <f t="shared" si="4"/>
        <v>0</v>
      </c>
      <c r="AE18" s="1045">
        <f t="shared" si="4"/>
        <v>0</v>
      </c>
      <c r="AF18" s="1045">
        <f t="shared" si="4"/>
        <v>1049</v>
      </c>
      <c r="AG18" s="1045">
        <f t="shared" si="4"/>
        <v>0</v>
      </c>
      <c r="AH18" s="1045">
        <f t="shared" si="4"/>
        <v>0</v>
      </c>
      <c r="AI18" s="1045">
        <f t="shared" si="4"/>
        <v>0</v>
      </c>
      <c r="AJ18" s="1045">
        <f t="shared" si="4"/>
        <v>0</v>
      </c>
      <c r="AK18" s="1045">
        <f t="shared" si="4"/>
        <v>0</v>
      </c>
      <c r="AL18" s="1045">
        <f t="shared" si="4"/>
        <v>0</v>
      </c>
      <c r="AM18" s="1045">
        <f t="shared" si="4"/>
        <v>214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160</v>
      </c>
      <c r="BD18" s="1045">
        <f t="shared" si="4"/>
        <v>709</v>
      </c>
      <c r="BE18" s="1045">
        <f t="shared" si="4"/>
        <v>0</v>
      </c>
      <c r="BF18" s="1045">
        <f t="shared" si="4"/>
        <v>0</v>
      </c>
      <c r="BG18" s="1045">
        <f>IF(ISNUMBER(Datos!K18/Datos!J18),Datos!K18/Datos!J18," - ")</f>
        <v>0.86602516654330131</v>
      </c>
      <c r="BH18" s="1049">
        <f>IF(ISNUMBER(((Datos!L18/Datos!K18)*11)/factor_trimestre),((Datos!L18/Datos!K18)*11)/factor_trimestre," - ")</f>
        <v>1.7931623931623932</v>
      </c>
      <c r="BI18" s="1045">
        <f>SUBTOTAL(9,BI15:BI17)</f>
        <v>0.30335757057313945</v>
      </c>
      <c r="BJ18" s="1045">
        <f>SUBTOTAL(9,BJ15:BJ17)</f>
        <v>0</v>
      </c>
      <c r="BK18" s="1045">
        <f>SUBTOTAL(9,BK15:BK17)</f>
        <v>0</v>
      </c>
      <c r="BL18" s="1045">
        <f>IF(ISNUMBER((I18-AB18+L18)/(F18)),(I18-AB18+L18)/(F18)," - ")</f>
        <v>-1.5435356200527703</v>
      </c>
      <c r="BM18" s="1051">
        <f>IF(ISNUMBER((Datos!P18-Datos!Q18)/(Datos!R18-Datos!P18+Datos!Q18)),(Datos!P18-Datos!Q18)/(Datos!R18-Datos!P18+Datos!Q18)," - ")</f>
        <v>-9.2592592592592587E-3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817</v>
      </c>
      <c r="G19" s="966">
        <f t="shared" si="6"/>
        <v>927</v>
      </c>
      <c r="H19" s="968">
        <f t="shared" si="6"/>
        <v>0</v>
      </c>
      <c r="I19" s="966">
        <f t="shared" si="6"/>
        <v>0</v>
      </c>
      <c r="J19" s="968">
        <f t="shared" si="6"/>
        <v>0</v>
      </c>
      <c r="K19" s="968">
        <f t="shared" si="6"/>
        <v>0</v>
      </c>
      <c r="L19" s="1027">
        <f t="shared" si="6"/>
        <v>0</v>
      </c>
      <c r="M19" s="1027">
        <f t="shared" si="6"/>
        <v>0</v>
      </c>
      <c r="N19" s="1027">
        <f t="shared" si="6"/>
        <v>19</v>
      </c>
      <c r="O19" s="1027">
        <f t="shared" si="6"/>
        <v>0</v>
      </c>
      <c r="P19" s="1027">
        <f t="shared" si="6"/>
        <v>0</v>
      </c>
      <c r="Q19" s="968">
        <f t="shared" si="6"/>
        <v>355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1185</v>
      </c>
      <c r="AC19" s="967">
        <f t="shared" si="7"/>
        <v>208</v>
      </c>
      <c r="AD19" s="967">
        <f t="shared" si="7"/>
        <v>0</v>
      </c>
      <c r="AE19" s="967">
        <f t="shared" si="7"/>
        <v>0</v>
      </c>
      <c r="AF19" s="974">
        <f t="shared" si="7"/>
        <v>1102</v>
      </c>
      <c r="AG19" s="974">
        <f t="shared" si="7"/>
        <v>0</v>
      </c>
      <c r="AH19" s="974">
        <f t="shared" si="7"/>
        <v>42</v>
      </c>
      <c r="AI19" s="974">
        <f t="shared" si="7"/>
        <v>0</v>
      </c>
      <c r="AJ19" s="967">
        <f t="shared" si="7"/>
        <v>0</v>
      </c>
      <c r="AK19" s="974">
        <f t="shared" si="7"/>
        <v>0</v>
      </c>
      <c r="AL19" s="974">
        <f t="shared" si="7"/>
        <v>0</v>
      </c>
      <c r="AM19" s="974">
        <f t="shared" si="7"/>
        <v>7155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441</v>
      </c>
      <c r="BD19" s="966">
        <f t="shared" si="7"/>
        <v>1046</v>
      </c>
      <c r="BE19" s="966">
        <f t="shared" si="7"/>
        <v>0</v>
      </c>
      <c r="BF19" s="976">
        <f t="shared" si="7"/>
        <v>0</v>
      </c>
      <c r="BG19" s="1061">
        <f>IF(ISNUMBER(Datos!K19/Datos!J19),Datos!K19/Datos!J19," - ")</f>
        <v>0.84480700358137684</v>
      </c>
      <c r="BH19" s="1061">
        <f>IF(ISNUMBER(((Datos!L19/Datos!K19)*11)/factor_trimestre),((Datos!L19/Datos!K19)*11)/factor_trimestre," - ")</f>
        <v>3.6599152143193594</v>
      </c>
      <c r="BI19" s="959">
        <f>IF(ISNUMBER(Datos!J19/Datos!I19),Datos!J19/Datos!I19," - ")</f>
        <v>0.71902718168812585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-1.4504283965728275</v>
      </c>
      <c r="BM19" s="1035">
        <f>IF(ISNUMBER((Datos!P19-Datos!Q19+R19)/(Datos!R19-Datos!P19+Datos!Q19-R19)),(Datos!P19-Datos!Q19+R19)/(Datos!R19-Datos!P19+Datos!Q19-R19)," - ")</f>
        <v>2.0976027397260275E-2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370.8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403.5678381635484</v>
      </c>
      <c r="G21" s="600">
        <f>IF(ISNUMBER(STDEV(G8:G18)),STDEV(G8:G18),"-")</f>
        <v>406.0747468139333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565.28709520030611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116.6481890129461</v>
      </c>
      <c r="BD21" s="599"/>
      <c r="BE21" s="599">
        <f>IF(ISNUMBER(STDEV(BE8:BE18)),STDEV(BE8:BE18),"-")</f>
        <v>0</v>
      </c>
      <c r="BF21" s="604">
        <f>IF(ISNUMBER(STDEV(BF8:BF18)),STDEV(BF8:BF18),"-")</f>
        <v>0</v>
      </c>
      <c r="BG21" s="914">
        <f>IF(ISNUMBER(STDEV(BG8:BG18)),STDEV(BG8:BG18),"-")</f>
        <v>0.33278954700859453</v>
      </c>
      <c r="BH21" s="918">
        <f>IF(ISNUMBER(STDEV(BH8:BH18)),STDEV(BH8:BH18),"-")</f>
        <v>2.5829948748470328</v>
      </c>
      <c r="BI21" s="253">
        <f>IF(ISNUMBER(STDEV(BI8:BI18)),STDEV(BI8:BI18),"-")</f>
        <v>8.5924668998080544E-2</v>
      </c>
      <c r="BJ21" s="234" t="str">
        <f>IF(ISNUMBER(BL21/BM21),BL21/BM21," - ")</f>
        <v xml:space="preserve"> - </v>
      </c>
      <c r="BK21" s="626"/>
      <c r="BL21" s="607">
        <f>IF(ISNUMBER(STDEV(BL8:BL18)),STDEV(BL8:BL18),"-")</f>
        <v>0.91167159347114013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E6T0yzzjZDjo+uFKQcgf8lD44Utmz6bgCsWzSTh+IUmKq5d9Dcn3mChEov42MqoOwz5xkGFchFw6/WFNSw2pw==" saltValue="f0xDNmIILoUrGQadcYuy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LA OROTAVA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59</v>
      </c>
      <c r="G10" s="506">
        <f>IF(ISNUMBER(Datos!I10),Datos!I10," - ")</f>
        <v>59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15</v>
      </c>
      <c r="Z10" s="703">
        <f>IF(ISNUMBER(Datos!Q10),Datos!Q10," - ")</f>
        <v>0</v>
      </c>
      <c r="AA10" s="505">
        <f>IF(ISNUMBER(Datos!L10),Datos!L10,"-")</f>
        <v>53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7</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7.0666666666666664</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132</v>
      </c>
      <c r="AA12" s="505" t="str">
        <f>IF(ISNUMBER(IF(J_V="SI",Datos!L12,Datos!L12+Datos!AB12)-IF(Monitorios="SI",Datos!CD12,0)),
                          IF(J_V="SI",Datos!L12,Datos!L12+Datos!AB12)-IF(Monitorios="SI",Datos!CD12,0),
                          " - ")</f>
        <v xml:space="preserve"> - </v>
      </c>
      <c r="AB12" s="503"/>
      <c r="AC12" s="503"/>
      <c r="AD12" s="516"/>
      <c r="AE12" s="516">
        <f>IF(ISNUMBER(Datos!R12),Datos!R12," - ")</f>
        <v>6941</v>
      </c>
      <c r="AF12" s="619" t="str">
        <f>IF(ISNUMBER(Datos!BV12),Datos!BV12," - ")</f>
        <v xml:space="preserve"> - </v>
      </c>
      <c r="AG12" s="506" t="str">
        <f>IF(ISNUMBER(Datos!DV12),Datos!DV12," - ")</f>
        <v xml:space="preserve"> - </v>
      </c>
      <c r="AH12" s="507"/>
      <c r="AI12" s="508"/>
      <c r="AJ12" s="506">
        <f>IF(ISNUMBER(Datos!M12),Datos!M12," - ")</f>
        <v>274</v>
      </c>
      <c r="AK12" s="619">
        <f>IF(ISNUMBER(Datos!N12),Datos!N12," - ")</f>
        <v>331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5.947368421052631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2.1937573616018845E-2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59</v>
      </c>
      <c r="G13" s="1044">
        <f>SUBTOTAL(9,G8:G12)</f>
        <v>59</v>
      </c>
      <c r="H13" s="1054"/>
      <c r="I13" s="1044">
        <f t="shared" ref="I13:N13" si="0">SUBTOTAL(9,I8:I12)</f>
        <v>0</v>
      </c>
      <c r="J13" s="1013">
        <f t="shared" si="0"/>
        <v>0</v>
      </c>
      <c r="K13" s="1054">
        <f t="shared" si="0"/>
        <v>0</v>
      </c>
      <c r="L13" s="1054">
        <f t="shared" si="0"/>
        <v>0</v>
      </c>
      <c r="M13" s="1054">
        <f t="shared" si="0"/>
        <v>0</v>
      </c>
      <c r="N13" s="1054">
        <f t="shared" si="0"/>
        <v>281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15</v>
      </c>
      <c r="Z13" s="1053">
        <f t="shared" si="2"/>
        <v>132</v>
      </c>
      <c r="AA13" s="1046">
        <f t="shared" si="2"/>
        <v>53</v>
      </c>
      <c r="AB13" s="1046">
        <f t="shared" si="2"/>
        <v>0</v>
      </c>
      <c r="AC13" s="1046">
        <f t="shared" si="2"/>
        <v>0</v>
      </c>
      <c r="AD13" s="1046">
        <f t="shared" si="2"/>
        <v>0</v>
      </c>
      <c r="AE13" s="1046">
        <f t="shared" si="2"/>
        <v>6941</v>
      </c>
      <c r="AF13" s="1054">
        <f t="shared" si="2"/>
        <v>0</v>
      </c>
      <c r="AG13" s="1054">
        <f t="shared" si="2"/>
        <v>0</v>
      </c>
      <c r="AH13" s="1054">
        <f t="shared" si="2"/>
        <v>0</v>
      </c>
      <c r="AI13" s="1054">
        <f t="shared" si="2"/>
        <v>0</v>
      </c>
      <c r="AJ13" s="1054">
        <f t="shared" si="2"/>
        <v>281</v>
      </c>
      <c r="AK13" s="1054">
        <f t="shared" si="2"/>
        <v>337</v>
      </c>
      <c r="AL13" s="1054">
        <f t="shared" si="2"/>
        <v>0</v>
      </c>
      <c r="AM13" s="1054">
        <f t="shared" si="2"/>
        <v>0</v>
      </c>
      <c r="AN13" s="1054">
        <f t="shared" si="2"/>
        <v>0</v>
      </c>
      <c r="AO13" s="1050">
        <f>IF(ISNUMBER(((NºAsuntos!I13/NºAsuntos!G13)*11)/factor_trimestre),((NºAsuntos!I13/NºAsuntos!G13)*11)/factor_trimestre," - ")</f>
        <v>5.9647668393782389</v>
      </c>
      <c r="AP13" s="1056" t="str">
        <f>IF(ISNUMBER(Datos!CI13/Datos!CJ13),Datos!CI13/Datos!CJ13," - ")</f>
        <v xml:space="preserve"> - </v>
      </c>
      <c r="AQ13" s="1074">
        <f t="shared" ref="AQ13:AV13" si="3">SUBTOTAL(9,AQ9:AQ12)</f>
        <v>0</v>
      </c>
      <c r="AR13" s="1074">
        <f t="shared" si="3"/>
        <v>2.1937573616018845E-2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758</v>
      </c>
      <c r="G16" s="506">
        <f>IF(ISNUMBER(IF(D_I="SI",Datos!I16,Datos!I16+Datos!AC16)),IF(D_I="SI",Datos!I16,Datos!I16+Datos!AC16)," - ")</f>
        <v>758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1002</v>
      </c>
      <c r="Z16" s="703">
        <f>IF(ISNUMBER(Datos!Q16),Datos!Q16," - ")</f>
        <v>75</v>
      </c>
      <c r="AA16" s="505">
        <f>IF(ISNUMBER(IF(D_I="SI",Datos!L16,Datos!L16+Datos!AF16)),IF(D_I="SI",Datos!L16,Datos!L16+Datos!AF16)," - ")</f>
        <v>934</v>
      </c>
      <c r="AB16" s="503"/>
      <c r="AC16" s="503"/>
      <c r="AD16" s="516"/>
      <c r="AE16" s="516">
        <f>IF(ISNUMBER(Datos!R16),Datos!R16," - ")</f>
        <v>206</v>
      </c>
      <c r="AF16" s="619" t="str">
        <f>IF(ISNUMBER(Datos!BV16),Datos!BV16," - ")</f>
        <v xml:space="preserve"> - </v>
      </c>
      <c r="AG16" s="506"/>
      <c r="AH16" s="507"/>
      <c r="AI16" s="508"/>
      <c r="AJ16" s="506">
        <f>IF(ISNUMBER(Datos!M16),Datos!M16," - ")</f>
        <v>131</v>
      </c>
      <c r="AK16" s="619">
        <f>IF(ISNUMBER(Datos!N16),Datos!N16," - ")</f>
        <v>589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1.8642714570858283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168</v>
      </c>
      <c r="Z17" s="703">
        <f>IF(ISNUMBER(Datos!Q17),Datos!Q17," - ")</f>
        <v>1</v>
      </c>
      <c r="AA17" s="505">
        <f>IF(ISNUMBER(Datos!L17),Datos!L17,"-")</f>
        <v>115</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29</v>
      </c>
      <c r="AK17" s="619">
        <f>IF(ISNUMBER(Datos!N17),Datos!N17," - ")</f>
        <v>120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1.3690476190476191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758</v>
      </c>
      <c r="G18" s="1044">
        <f>SUBTOTAL(9,G15:G17)</f>
        <v>868</v>
      </c>
      <c r="H18" s="1078">
        <f>SUBTOTAL(9,H15:H17)</f>
        <v>0</v>
      </c>
      <c r="I18" s="1057">
        <f>SUBTOTAL(9,I15:I17)</f>
        <v>0</v>
      </c>
      <c r="J18" s="1013">
        <f>SUBTOTAL(9,J14:J17)</f>
        <v>0</v>
      </c>
      <c r="K18" s="1078">
        <f t="shared" ref="K18:S18" si="4">SUBTOTAL(9,K15:K17)</f>
        <v>0</v>
      </c>
      <c r="L18" s="1078">
        <f t="shared" si="4"/>
        <v>0</v>
      </c>
      <c r="M18" s="1078">
        <f t="shared" si="4"/>
        <v>0</v>
      </c>
      <c r="N18" s="1078">
        <f t="shared" si="4"/>
        <v>74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1170</v>
      </c>
      <c r="Z18" s="1078">
        <f t="shared" si="5"/>
        <v>76</v>
      </c>
      <c r="AA18" s="1078">
        <f t="shared" si="5"/>
        <v>1049</v>
      </c>
      <c r="AB18" s="1078">
        <f t="shared" si="5"/>
        <v>0</v>
      </c>
      <c r="AC18" s="1078">
        <f t="shared" si="5"/>
        <v>0</v>
      </c>
      <c r="AD18" s="1078">
        <f t="shared" si="5"/>
        <v>0</v>
      </c>
      <c r="AE18" s="1078">
        <f t="shared" si="5"/>
        <v>214</v>
      </c>
      <c r="AF18" s="1078">
        <f t="shared" si="5"/>
        <v>0</v>
      </c>
      <c r="AG18" s="1078">
        <f t="shared" si="5"/>
        <v>0</v>
      </c>
      <c r="AH18" s="1078">
        <f t="shared" si="5"/>
        <v>0</v>
      </c>
      <c r="AI18" s="1078">
        <f t="shared" si="5"/>
        <v>0</v>
      </c>
      <c r="AJ18" s="1078">
        <f t="shared" si="5"/>
        <v>160</v>
      </c>
      <c r="AK18" s="1078">
        <f t="shared" si="5"/>
        <v>709</v>
      </c>
      <c r="AL18" s="1078">
        <f t="shared" si="5"/>
        <v>0</v>
      </c>
      <c r="AM18" s="1078">
        <f t="shared" si="5"/>
        <v>0</v>
      </c>
      <c r="AN18" s="1078">
        <f t="shared" si="5"/>
        <v>0</v>
      </c>
      <c r="AO18" s="1080">
        <f>IF(ISNUMBER(((NºAsuntos!I18/NºAsuntos!G18)*11)/factor_trimestre),((NºAsuntos!I18/NºAsuntos!G18)*11)/factor_trimestre," - ")</f>
        <v>1.7931623931623932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817</v>
      </c>
      <c r="G19" s="966">
        <f t="shared" si="7"/>
        <v>927</v>
      </c>
      <c r="H19" s="967">
        <f t="shared" si="7"/>
        <v>0</v>
      </c>
      <c r="I19" s="966">
        <f t="shared" si="7"/>
        <v>0</v>
      </c>
      <c r="J19" s="968">
        <f t="shared" si="7"/>
        <v>0</v>
      </c>
      <c r="K19" s="966">
        <f t="shared" si="7"/>
        <v>0</v>
      </c>
      <c r="L19" s="969">
        <f t="shared" si="7"/>
        <v>0</v>
      </c>
      <c r="M19" s="966">
        <f t="shared" si="7"/>
        <v>0</v>
      </c>
      <c r="N19" s="967">
        <f t="shared" si="7"/>
        <v>355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1185</v>
      </c>
      <c r="Z19" s="973">
        <f t="shared" si="8"/>
        <v>208</v>
      </c>
      <c r="AA19" s="974">
        <f t="shared" si="8"/>
        <v>1102</v>
      </c>
      <c r="AB19" s="974">
        <f t="shared" si="8"/>
        <v>0</v>
      </c>
      <c r="AC19" s="974">
        <f t="shared" si="8"/>
        <v>0</v>
      </c>
      <c r="AD19" s="975">
        <f t="shared" si="8"/>
        <v>0</v>
      </c>
      <c r="AE19" s="975">
        <f t="shared" si="8"/>
        <v>7155</v>
      </c>
      <c r="AF19" s="976">
        <f t="shared" si="8"/>
        <v>0</v>
      </c>
      <c r="AG19" s="977">
        <f t="shared" si="8"/>
        <v>0</v>
      </c>
      <c r="AH19" s="978">
        <f t="shared" si="8"/>
        <v>0</v>
      </c>
      <c r="AI19" s="976">
        <f t="shared" si="8"/>
        <v>0</v>
      </c>
      <c r="AJ19" s="966">
        <f t="shared" si="8"/>
        <v>441</v>
      </c>
      <c r="AK19" s="966">
        <f t="shared" si="8"/>
        <v>1046</v>
      </c>
      <c r="AL19" s="966">
        <f t="shared" si="8"/>
        <v>0</v>
      </c>
      <c r="AM19" s="979">
        <f t="shared" si="8"/>
        <v>0</v>
      </c>
      <c r="AN19" s="969">
        <f>IF(ISNUMBER(Datos!K19/Datos!J19),Datos!K19/Datos!J19," - ")</f>
        <v>0.84480700358137684</v>
      </c>
      <c r="AO19" s="969">
        <f>IF(ISNUMBER(FIND("06",Criterios!A8,1)),(IF(ISNUMBER(((Datos!R19/Datos!Q19)*11)/factor_trimestre),((Datos!R19/Datos!Q19)*11)/factor_trimestre," - ")),(IF(ISNUMBER(((Datos!L19/Datos!K19)*11)/factor_trimestre),((Datos!L19/Datos!K19)*11)/factor_trimestre," - ")))</f>
        <v>3.6599152143193594</v>
      </c>
      <c r="AP19" s="980" t="str">
        <f>IF(ISNUMBER(Datos!CI19/Datos!CJ19),Datos!CI19/Datos!CJ19," - ")</f>
        <v xml:space="preserve"> - </v>
      </c>
      <c r="AQ19" s="980">
        <f>IF(OR(ISNUMBER(FIND("01",Criterios!A8,1)),ISNUMBER(FIND("02",Criterios!A8,1)),ISNUMBER(FIND("03",Criterios!A8,1)),ISNUMBER(FIND("04",Criterios!A8,1))),(J19-Y19+K19)/(F19-K19),(I19-Y19+K19)/(F19-K19))</f>
        <v>-1.4504283965728275</v>
      </c>
      <c r="AR19" s="980">
        <f>IF(ISNUMBER((Datos!P19-Datos!Q19+O19)/(Datos!R19-Datos!P19+Datos!Q19-O19)),(Datos!P19-Datos!Q19+O19)/(Datos!R19-Datos!P19+Datos!Q19-O19)," - ")</f>
        <v>2.0976027397260275E-2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370.8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403.5678381635484</v>
      </c>
      <c r="G21" s="600">
        <f>IF(ISNUMBER(STDEV(G8:G18)),STDEV(G8:G18),"-")</f>
        <v>406.0747468139333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116.6481890129461</v>
      </c>
      <c r="AK21" s="256"/>
      <c r="AL21" s="256">
        <f>IF(ISNUMBER(STDEV(AL8:AL18)),STDEV(AL8:AL18),"-")</f>
        <v>0</v>
      </c>
      <c r="AM21" s="258">
        <f>IF(ISNUMBER(STDEV(AM8:AM18)),STDEV(AM8:AM18),"-")</f>
        <v>0</v>
      </c>
      <c r="AN21" s="586">
        <f>IF(ISNUMBER(STDEV(AN8:AN18)),STDEV(AN8:AN18),"-")</f>
        <v>0</v>
      </c>
      <c r="AO21" s="587">
        <f>IF(ISNUMBER(STDEV(AO8:AO18)),STDEV(AO8:AO18),"-")</f>
        <v>2.5849708453020606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G30SBrPTMzf2aHv+T2mc74zH2cwnglGhf4M8Dj/Z16yg0bskCjKJmpQaFdvI+rK926aTai8cU1Ua1LeEsqEyQ==" saltValue="I2DtiFjPNnUmGN47odI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O2KIqXCWnH7YhMQb3cZtBFr5zzvde0tFs7hWET1sGez7FDnf3xSD+Ns/Mk0q68QfLTIwBA5r2OyiEtht6ngrg==" saltValue="pkleMSspvge98b4vKrlg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zJwBbAkIu2swvjzUAaTL7b/u7fZmrFDvY7hidJaExQzL5BrGplvIS/NGCyk4GqgeusiJf0Co5PWRJ8Cw/9e2g==" saltValue="y6QBhe9RfceZGOjK5l3hh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LA OROTAVA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0.29119170984455961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0.20590363265639364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p5YLqeJ8MJ+eEOVXxz9QN54qcD1PDgZYtDSGRb7ZqtgEiIAX1aTL0+klGeHZTBRyzjW9ZWiN5IYab1lECom4A==" saltValue="t7TFl5T/X0yL2KoIv0FD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3hn3YRRiAzp6wQAyjpbNLccf7MnXQuFtr0SXxQZQaDVvbWvtdpJir9p5eWXXM6qr7PdzszuBAm1qKNPsJNbzuA==" saltValue="DvyB/U4Y5K6KRc7hSCFY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LA OROTAVA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59</v>
      </c>
      <c r="D10" s="415">
        <f>IF(ISNUMBER(C10/Datos!BH10),C10/Datos!BH10," - ")</f>
        <v>59</v>
      </c>
      <c r="E10" s="414">
        <f>IF(ISNUMBER(Datos!J10),Datos!J10," - ")</f>
        <v>9</v>
      </c>
      <c r="F10" s="415">
        <f>IF(ISNUMBER(E10/B10),E10/B10," - ")</f>
        <v>9</v>
      </c>
      <c r="G10" s="414">
        <f>IF(ISNUMBER(Datos!K10),Datos!K10," - ")</f>
        <v>15</v>
      </c>
      <c r="H10" s="415">
        <f>IF(ISNUMBER(G10/B10),G10/B10," - ")</f>
        <v>15</v>
      </c>
      <c r="I10" s="414">
        <f>IF(ISNUMBER(Datos!L10),Datos!L10," - ")</f>
        <v>53</v>
      </c>
      <c r="J10" s="415">
        <f>IF(ISNUMBER(I10/B10),I10/B10," - ")</f>
        <v>53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2603</v>
      </c>
      <c r="D12" s="415">
        <f>IF(ISNUMBER(C12/Datos!BH12),C12/Datos!BH12," - ")</f>
        <v>520.6</v>
      </c>
      <c r="E12" s="414">
        <f>IF(ISNUMBER(IF(J_V="SI",Datos!J12,Datos!J12+Datos!Z12)),IF(J_V="SI",Datos!J12,Datos!J12+Datos!Z12)," - ")</f>
        <v>1172</v>
      </c>
      <c r="F12" s="415">
        <f>IF(ISNUMBER(E12/B12),E12/B12," - ")</f>
        <v>234.4</v>
      </c>
      <c r="G12" s="414">
        <f>IF(ISNUMBER(IF(J_V="SI",Datos!K12,Datos!K12+Datos!AA12)),IF(J_V="SI",Datos!K12,Datos!K12+Datos!AA12)," - ")</f>
        <v>950</v>
      </c>
      <c r="H12" s="415">
        <f>IF(ISNUMBER(G12/B12),G12/B12," - ")</f>
        <v>190</v>
      </c>
      <c r="I12" s="414">
        <f>IF(ISNUMBER(IF(J_V="SI",Datos!L12,Datos!L12+Datos!AB12)),IF(J_V="SI",Datos!L12,Datos!L12+Datos!AB12)," - ")</f>
        <v>2825</v>
      </c>
      <c r="J12" s="415">
        <f>IF(ISNUMBER(I12/B12),I12/B12," - ")</f>
        <v>565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2662</v>
      </c>
      <c r="D13" s="996" t="str">
        <f>IF(ISNUMBER(C13/Datos!BI13),C13/Datos!BI13," - ")</f>
        <v xml:space="preserve"> - </v>
      </c>
      <c r="E13" s="995">
        <f>SUBTOTAL(9,E8:E12)</f>
        <v>1181</v>
      </c>
      <c r="F13" s="996">
        <f>IF(ISNUMBER(E13/B13),E13/B13," - ")</f>
        <v>236.2</v>
      </c>
      <c r="G13" s="995">
        <f>SUBTOTAL(9,G8:G12)</f>
        <v>965</v>
      </c>
      <c r="H13" s="996">
        <f>IF(ISNUMBER(G13/B13),G13/B13," - ")</f>
        <v>193</v>
      </c>
      <c r="I13" s="995">
        <f>SUBTOTAL(9,I8:I12)</f>
        <v>2878</v>
      </c>
      <c r="J13" s="996">
        <f>IF(ISNUMBER(I13/B13),I13/B13," - ")</f>
        <v>575.6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758</v>
      </c>
      <c r="D16" s="415">
        <f>IF(ISNUMBER(C16/Datos!BH16),C16/Datos!BH16," - ")</f>
        <v>151.6</v>
      </c>
      <c r="E16" s="414">
        <f>IF(ISNUMBER(IF(D_I="SI",Datos!J16,Datos!J16+Datos!AD16)),IF(D_I="SI",Datos!J16,Datos!J16+Datos!AD16)," - ")</f>
        <v>1178</v>
      </c>
      <c r="F16" s="415">
        <f>IF(ISNUMBER(E16/B16),E16/B16," - ")</f>
        <v>235.6</v>
      </c>
      <c r="G16" s="414">
        <f>IF(ISNUMBER(IF(D_I="SI",Datos!K16,Datos!K16+Datos!AE16)),IF(D_I="SI",Datos!K16,Datos!K16+Datos!AE16)," - ")</f>
        <v>1002</v>
      </c>
      <c r="H16" s="415">
        <f>IF(ISNUMBER(G16/B16),G16/B16," - ")</f>
        <v>200.4</v>
      </c>
      <c r="I16" s="414">
        <f>IF(ISNUMBER(IF(D_I="SI",Datos!L16,Datos!L16+Datos!AF16)),IF(D_I="SI",Datos!L16,Datos!L16+Datos!AF16)," - ")</f>
        <v>934</v>
      </c>
      <c r="J16" s="415">
        <f>IF(ISNUMBER(I16/B16),I16/B16," - ")</f>
        <v>186.8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110</v>
      </c>
      <c r="D17" s="415">
        <f>IF(ISNUMBER(C17/Datos!BH17),C17/Datos!BH17," - ")</f>
        <v>110</v>
      </c>
      <c r="E17" s="414">
        <f>IF(ISNUMBER(IF(D_I="SI",Datos!J17,Datos!J17+Datos!AD17)),IF(D_I="SI",Datos!J17,Datos!J17+Datos!AD17)," - ")</f>
        <v>173</v>
      </c>
      <c r="F17" s="415">
        <f>IF(ISNUMBER(E17/B17),E17/B17," - ")</f>
        <v>173</v>
      </c>
      <c r="G17" s="414">
        <f>IF(ISNUMBER(IF(D_I="SI",Datos!K17,Datos!K17+Datos!AE17)),IF(D_I="SI",Datos!K17,Datos!K17+Datos!AE17)," - ")</f>
        <v>168</v>
      </c>
      <c r="H17" s="415">
        <f>IF(ISNUMBER(G17/B17),G17/B17," - ")</f>
        <v>168</v>
      </c>
      <c r="I17" s="414">
        <f>IF(ISNUMBER(IF(D_I="SI",Datos!L17,Datos!L17+Datos!AF17)),IF(D_I="SI",Datos!L17,Datos!L17+Datos!AF17)," - ")</f>
        <v>115</v>
      </c>
      <c r="J17" s="415">
        <f>IF(ISNUMBER(I17/B17),I17/B17," - ")</f>
        <v>115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868</v>
      </c>
      <c r="D18" s="996" t="str">
        <f>IF(ISNUMBER(C18/Datos!BI18),C18/Datos!BI18," - ")</f>
        <v xml:space="preserve"> - </v>
      </c>
      <c r="E18" s="995">
        <f>SUBTOTAL(9,E14:E17)</f>
        <v>1351</v>
      </c>
      <c r="F18" s="996">
        <f>IF(ISNUMBER(E18/B18),E18/B18," - ")</f>
        <v>270.2</v>
      </c>
      <c r="G18" s="995">
        <f>SUBTOTAL(9,G14:G17)</f>
        <v>1170</v>
      </c>
      <c r="H18" s="996">
        <f>IF(ISNUMBER(G18/B18),G18/B18," - ")</f>
        <v>234</v>
      </c>
      <c r="I18" s="995">
        <f>SUBTOTAL(9,I14:I17)</f>
        <v>1049</v>
      </c>
      <c r="J18" s="996">
        <f>IF(ISNUMBER(I18/B18),I18/B18," - ")</f>
        <v>209.8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3530</v>
      </c>
      <c r="D19" s="941" t="str">
        <f>IF(ISNUMBER(C19/Datos!BI19),C19/Datos!BI19," - ")</f>
        <v xml:space="preserve"> - </v>
      </c>
      <c r="E19" s="940">
        <f>SUBTOTAL(9,E9:E18)</f>
        <v>2532</v>
      </c>
      <c r="F19" s="941">
        <f>IF(ISNUMBER(E19/B19),E19/B19," - ")</f>
        <v>506.4</v>
      </c>
      <c r="G19" s="940">
        <f>SUBTOTAL(9,G9:G18)</f>
        <v>2135</v>
      </c>
      <c r="H19" s="941">
        <f>IF(ISNUMBER(G19/B19),G19/B19," - ")</f>
        <v>427</v>
      </c>
      <c r="I19" s="940">
        <f>SUBTOTAL(9,I9:I18)</f>
        <v>3927</v>
      </c>
      <c r="J19" s="941">
        <f>IF(ISNUMBER(I19/B19),I19/B19," - ")</f>
        <v>785.4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AwCLrf1TAhXMyGziJ8JZsHjIrrXq40CoybP+mZFl6H1pumCGbKZCfk2/eue7oHpC81y/4ZCaK4Jxsy23dBA/w==" saltValue="/ERvtXiDC/AQuNcI7bBQ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LA OROTAVA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59</v>
      </c>
      <c r="G10" s="802">
        <f>IF(ISNUMBER(Datos!I10),Datos!I10," - ")</f>
        <v>59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15</v>
      </c>
      <c r="AC10" s="801" t="str">
        <f>IF(ISNUMBER(IF(D_I="SI",DatosP!K17,DatosP!K17+DatosP!AE17)),IF(D_I="SI",DatosP!K17,DatosP!K17+DatosP!AE17)," - ")</f>
        <v xml:space="preserve"> - </v>
      </c>
      <c r="AD10" s="803"/>
      <c r="AE10" s="803"/>
      <c r="AF10" s="806">
        <f>IF(ISNUMBER(Datos!L10),Datos!L10,"-")</f>
        <v>53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7.0666666666666664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6941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274</v>
      </c>
      <c r="AM12" s="810">
        <f>IF(ISNUMBER(Datos!N12+DatosP!N16),Datos!N12+DatosP!N16," - ")</f>
        <v>331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5.947368421052631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2.1937573616018845E-2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59</v>
      </c>
      <c r="G13" s="1084">
        <f t="shared" si="0"/>
        <v>59</v>
      </c>
      <c r="H13" s="1084">
        <f t="shared" si="0"/>
        <v>0</v>
      </c>
      <c r="I13" s="1086">
        <f t="shared" si="0"/>
        <v>0</v>
      </c>
      <c r="J13" s="1085">
        <f t="shared" si="0"/>
        <v>0</v>
      </c>
      <c r="K13" s="1085">
        <f t="shared" si="0"/>
        <v>0</v>
      </c>
      <c r="L13" s="1087">
        <f t="shared" si="0"/>
        <v>0</v>
      </c>
      <c r="M13" s="1087">
        <f t="shared" si="0"/>
        <v>0</v>
      </c>
      <c r="N13" s="1085">
        <f t="shared" si="0"/>
        <v>281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15</v>
      </c>
      <c r="AC13" s="1085">
        <f t="shared" si="1"/>
        <v>0</v>
      </c>
      <c r="AD13" s="1085">
        <f t="shared" si="1"/>
        <v>132</v>
      </c>
      <c r="AE13" s="1085">
        <f t="shared" si="1"/>
        <v>0</v>
      </c>
      <c r="AF13" s="1085">
        <f t="shared" si="1"/>
        <v>53</v>
      </c>
      <c r="AG13" s="1085">
        <f t="shared" si="1"/>
        <v>0</v>
      </c>
      <c r="AH13" s="1085">
        <f t="shared" si="1"/>
        <v>6941</v>
      </c>
      <c r="AI13" s="1085">
        <f t="shared" si="1"/>
        <v>0</v>
      </c>
      <c r="AJ13" s="1085">
        <f t="shared" si="1"/>
        <v>0</v>
      </c>
      <c r="AK13" s="1085">
        <f t="shared" si="1"/>
        <v>0</v>
      </c>
      <c r="AL13" s="1085">
        <f t="shared" si="1"/>
        <v>281</v>
      </c>
      <c r="AM13" s="1085">
        <f t="shared" si="1"/>
        <v>337</v>
      </c>
      <c r="AN13" s="1085">
        <f t="shared" si="1"/>
        <v>0</v>
      </c>
      <c r="AO13" s="1085">
        <f t="shared" si="1"/>
        <v>0</v>
      </c>
      <c r="AP13" s="1090">
        <f>IF(ISNUMBER(((Datos!L13/Datos!K13)*11)/factor_trimestre),((Datos!L13/Datos!K13)*11)/factor_trimestre," - ")</f>
        <v>5.9517313746065064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-0.25423728813559321</v>
      </c>
      <c r="AU13" s="1085" t="str">
        <f>IF(ISNUMBER((DatosP!#REF!-DatosP!#REF!+DatosP!#REF!)/(DatosP!#REF!+DatosP!#REF!-DatosP!#REF!-DatosP!#REF!)),(DatosP!#REF!-DatosP!#REF!+DatosP!#REF!)/(DatosP!#REF!+DatosP!#REF!-DatosP!#REF!-DatosP!#REF!)," - ")</f>
        <v xml:space="preserve"> - </v>
      </c>
      <c r="AV13" s="1091">
        <f>SUBTOTAL(9,AV9:AV12)</f>
        <v>2.1937573616018845E-2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1.7931623931623932</v>
      </c>
      <c r="AQ18" s="1090">
        <f>IF(ISNUMBER(((Datos!M18/Datos!L18)*11)/factor_trimestre),((Datos!M18/Datos!L18)*11)/factor_trimestre," - ")</f>
        <v>0.30505243088655865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-9.2592592592592587E-3</v>
      </c>
      <c r="AW18" s="1092">
        <f>IF(ISNUMBER((Datos!Q18-Datos!R18)/(Datos!S18-Datos!Q18+Datos!R18)),(Datos!Q18-Datos!R18)/(Datos!S18-Datos!Q18+Datos!R18)," - ")</f>
        <v>-0.10102489019033675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59</v>
      </c>
      <c r="G19" s="1097">
        <f t="shared" si="4"/>
        <v>59</v>
      </c>
      <c r="H19" s="1097">
        <f t="shared" si="4"/>
        <v>0</v>
      </c>
      <c r="I19" s="1098">
        <f t="shared" si="4"/>
        <v>0</v>
      </c>
      <c r="J19" s="1099">
        <f t="shared" si="4"/>
        <v>0</v>
      </c>
      <c r="K19" s="1099">
        <f t="shared" si="4"/>
        <v>0</v>
      </c>
      <c r="L19" s="1099">
        <f t="shared" si="4"/>
        <v>0</v>
      </c>
      <c r="M19" s="1099">
        <f t="shared" si="4"/>
        <v>0</v>
      </c>
      <c r="N19" s="1098">
        <f t="shared" si="4"/>
        <v>281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15</v>
      </c>
      <c r="AC19" s="1103">
        <f t="shared" si="5"/>
        <v>0</v>
      </c>
      <c r="AD19" s="1103">
        <f t="shared" si="5"/>
        <v>132</v>
      </c>
      <c r="AE19" s="1103">
        <f t="shared" si="5"/>
        <v>0</v>
      </c>
      <c r="AF19" s="1104">
        <f t="shared" si="5"/>
        <v>53</v>
      </c>
      <c r="AG19" s="1104">
        <f t="shared" si="5"/>
        <v>0</v>
      </c>
      <c r="AH19" s="1104">
        <f t="shared" si="5"/>
        <v>6941</v>
      </c>
      <c r="AI19" s="1104">
        <f t="shared" si="5"/>
        <v>0</v>
      </c>
      <c r="AJ19" s="1105">
        <f t="shared" si="5"/>
        <v>0</v>
      </c>
      <c r="AK19" s="1105">
        <f t="shared" si="5"/>
        <v>0</v>
      </c>
      <c r="AL19" s="1097">
        <f t="shared" si="5"/>
        <v>281</v>
      </c>
      <c r="AM19" s="1097">
        <f t="shared" si="5"/>
        <v>337</v>
      </c>
      <c r="AN19" s="1097">
        <f t="shared" si="5"/>
        <v>0</v>
      </c>
      <c r="AO19" s="1097">
        <f t="shared" si="5"/>
        <v>0</v>
      </c>
      <c r="AP19" s="1097">
        <f>IF(ISNUMBER(((Datos!L19/Datos!K19)*11)/factor_trimestre),((Datos!L19/Datos!K19)*11)/factor_trimestre," - ")</f>
        <v>3.6599152143193594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-0.25423728813559321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2.0976027397260275E-2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39.333333333333336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34.063665882187919</v>
      </c>
      <c r="G21" s="870">
        <f>IF(ISNUMBER(STDEV(G8:G18)),STDEV(G8:G18),"-")</f>
        <v>34.063665882187919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8.6602540378443873</v>
      </c>
      <c r="AC21" s="871">
        <f>IF(ISNUMBER(STDEV(AC8:AC18)),STDEV(AC8:AC18),"-")</f>
        <v>0</v>
      </c>
      <c r="AD21" s="874"/>
      <c r="AE21" s="874"/>
      <c r="AF21" s="874"/>
      <c r="AG21" s="874"/>
      <c r="AH21" s="874"/>
      <c r="AI21" s="874"/>
      <c r="AJ21" s="875">
        <f>IF(ISNUMBER(STDEV(AJ8:AJ18)),STDEV(AJ8:AJ18),"-")</f>
        <v>0</v>
      </c>
      <c r="AK21" s="877"/>
      <c r="AL21" s="869">
        <f>IF(ISNUMBER(STDEV(AL8:AL18)),STDEV(AL8:AL18),"-")</f>
        <v>158.24558972264177</v>
      </c>
      <c r="AM21" s="869"/>
      <c r="AN21" s="869">
        <f>IF(ISNUMBER(STDEV(AN8:AN18)),STDEV(AN8:AN18),"-")</f>
        <v>0</v>
      </c>
      <c r="AO21" s="875">
        <f>IF(ISNUMBER(STDEV(AO8:AO18)),STDEV(AO8:AO18),"-")</f>
        <v>0</v>
      </c>
      <c r="AP21" s="922">
        <f>IF(ISNUMBER(STDEV(AP8:AP18)),STDEV(AP8:AP18),"-")</f>
        <v>2.3248100159248901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7YTuG2x8KiB9M6c+Kto9fVPsNEh+M0pb+4hqLJog+8Ssg9c18tQt2u7NNEO002Nk+T3fIAd7nEc7S+hq/4mdw==" saltValue="hRifs+TkAlTgtcGXjA0N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LA OROTAVA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l9x0ZJiVTtrxESco+1xIKcxuxs6Ocw0Wa7uDtDklOhiEP3eSKcaRqZZ/z3O6oORQuqahRkJcWlaGERUiUQg9g==" saltValue="KXxv7PPDlvCuJnUNrY09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LA OROTAVA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7</v>
      </c>
      <c r="E10" s="415">
        <f>IF(ISNUMBER(D10/B10),D10/B10," - ")</f>
        <v>7</v>
      </c>
      <c r="F10" s="414">
        <f>IF(ISNUMBER(Datos!N10),Datos!N10," - ")</f>
        <v>6</v>
      </c>
      <c r="G10" s="415">
        <f>IF(ISNUMBER(F10/B10),F10/B10," - ")</f>
        <v>6</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274</v>
      </c>
      <c r="E12" s="415">
        <f t="shared" si="0"/>
        <v>54.8</v>
      </c>
      <c r="F12" s="414">
        <f>IF(ISNUMBER(Datos!N12),Datos!N12," - ")</f>
        <v>331</v>
      </c>
      <c r="G12" s="415">
        <f t="shared" si="1"/>
        <v>66.2</v>
      </c>
      <c r="H12" s="414">
        <f>IF(ISNUMBER(Datos!O12),Datos!O12," - ")</f>
        <v>263</v>
      </c>
      <c r="I12" s="415">
        <f t="shared" si="2"/>
        <v>52.6</v>
      </c>
    </row>
    <row r="13" spans="1:9" ht="14.25" thickTop="1" thickBot="1">
      <c r="A13" s="994" t="str">
        <f>Datos!A13</f>
        <v>TOTAL</v>
      </c>
      <c r="B13" s="995">
        <f>Datos!AO13</f>
        <v>6</v>
      </c>
      <c r="C13" s="997">
        <f>Datos!AR13</f>
        <v>5</v>
      </c>
      <c r="D13" s="995">
        <f>SUBTOTAL(9,D9:D12)</f>
        <v>281</v>
      </c>
      <c r="E13" s="996">
        <f t="shared" si="0"/>
        <v>46.833333333333336</v>
      </c>
      <c r="F13" s="995">
        <f>SUBTOTAL(9,F9:F12)</f>
        <v>337</v>
      </c>
      <c r="G13" s="996">
        <f t="shared" si="1"/>
        <v>56.166666666666664</v>
      </c>
      <c r="H13" s="995">
        <f>SUBTOTAL(9,H9:H12)</f>
        <v>264</v>
      </c>
      <c r="I13" s="996">
        <f>IF(ISNUMBER(H13/B13),H13/B13," - ")</f>
        <v>44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131</v>
      </c>
      <c r="E16" s="415">
        <f t="shared" si="3"/>
        <v>26.2</v>
      </c>
      <c r="F16" s="414">
        <f>IF(ISNUMBER(Datos!N16),Datos!N16," - ")</f>
        <v>589</v>
      </c>
      <c r="G16" s="415">
        <f t="shared" si="4"/>
        <v>117.8</v>
      </c>
      <c r="H16" s="414">
        <f>IF(ISNUMBER(Datos!O16),Datos!O16," - ")</f>
        <v>24</v>
      </c>
      <c r="I16" s="415">
        <f t="shared" si="5"/>
        <v>4.8</v>
      </c>
    </row>
    <row r="17" spans="1:9" ht="13.5" thickBot="1">
      <c r="A17" s="413" t="str">
        <f>Datos!A17</f>
        <v>Jdos. Violencia contra la mujer</v>
      </c>
      <c r="B17" s="443">
        <f>Datos!AO17</f>
        <v>1</v>
      </c>
      <c r="C17" s="444">
        <f>Datos!AQ17</f>
        <v>0</v>
      </c>
      <c r="D17" s="414">
        <f>IF(ISNUMBER(Datos!M17),Datos!M17," - ")</f>
        <v>29</v>
      </c>
      <c r="E17" s="415">
        <f>IF(ISNUMBER(D17/B17),D17/B17," - ")</f>
        <v>29</v>
      </c>
      <c r="F17" s="414">
        <f>IF(ISNUMBER(Datos!N17),Datos!N17," - ")</f>
        <v>120</v>
      </c>
      <c r="G17" s="415">
        <f>IF(ISNUMBER(F17/B17),F17/B17," - ")</f>
        <v>120</v>
      </c>
      <c r="H17" s="414">
        <f>IF(ISNUMBER(Datos!O17),Datos!O17," - ")</f>
        <v>0</v>
      </c>
      <c r="I17" s="415">
        <f t="shared" si="5"/>
        <v>0</v>
      </c>
    </row>
    <row r="18" spans="1:9" ht="14.25" thickTop="1" thickBot="1">
      <c r="A18" s="994" t="str">
        <f>Datos!A18</f>
        <v>TOTAL</v>
      </c>
      <c r="B18" s="995">
        <f>Datos!AO18</f>
        <v>6</v>
      </c>
      <c r="C18" s="997">
        <f>Datos!AR18</f>
        <v>5</v>
      </c>
      <c r="D18" s="995">
        <f>SUBTOTAL(9,D15:D17)</f>
        <v>160</v>
      </c>
      <c r="E18" s="996">
        <f t="shared" si="3"/>
        <v>26.666666666666668</v>
      </c>
      <c r="F18" s="995">
        <f>SUBTOTAL(9,F15:F17)</f>
        <v>709</v>
      </c>
      <c r="G18" s="996">
        <f t="shared" si="4"/>
        <v>118.16666666666667</v>
      </c>
      <c r="H18" s="995">
        <f>SUBTOTAL(9,H15:H17)</f>
        <v>24</v>
      </c>
      <c r="I18" s="996">
        <f>IF(ISNUMBER(H18/B18),H18/B18," - ")</f>
        <v>4</v>
      </c>
    </row>
    <row r="19" spans="1:9" ht="14.25" thickTop="1" thickBot="1">
      <c r="A19" s="939" t="str">
        <f>Datos!A19</f>
        <v>TOTAL JURISDICCIONES</v>
      </c>
      <c r="B19" s="940">
        <f>Datos!AP19</f>
        <v>5</v>
      </c>
      <c r="C19" s="940">
        <f>Datos!AR19</f>
        <v>5</v>
      </c>
      <c r="D19" s="940">
        <f>SUBTOTAL(9,D8:D18)</f>
        <v>441</v>
      </c>
      <c r="E19" s="941">
        <f>IF(ISNUMBER(D19/B19),D19/B19," - ")</f>
        <v>88.2</v>
      </c>
      <c r="F19" s="940">
        <f>SUBTOTAL(9,F8:F18)</f>
        <v>1046</v>
      </c>
      <c r="G19" s="941">
        <f>IF(ISNUMBER(F19/B19),F19/B19," - ")</f>
        <v>209.2</v>
      </c>
      <c r="H19" s="940">
        <f>SUBTOTAL(9,H8:H18)</f>
        <v>288</v>
      </c>
      <c r="I19" s="941">
        <f>IF(ISNUMBER(H19/B19),H19/B19," - ")</f>
        <v>57.6</v>
      </c>
    </row>
    <row r="22" spans="1:9">
      <c r="A22" s="402" t="str">
        <f>Criterios!A4</f>
        <v>Fecha Informe: 29 nov. 2023</v>
      </c>
    </row>
    <row r="27" spans="1:9">
      <c r="A27" s="425"/>
    </row>
  </sheetData>
  <sheetProtection algorithmName="SHA-512" hashValue="Z6f3xydg5p9Ufmxr/1LMqFXkIw02PSsa1F0x+BPHa42RzYilZjDEntfGK04cWMPNl2duCqqaXmF+KYCYrCue0g==" saltValue="W/AGOyk9clihSLfk+kPT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LA OROTAVA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281</v>
      </c>
      <c r="C12" s="450">
        <f>IF(ISNUMBER(Datos!Q12),Datos!Q12," - ")</f>
        <v>132</v>
      </c>
      <c r="D12" s="419">
        <f>IF(ISNUMBER(Datos!R12),Datos!R12," - ")</f>
        <v>6941</v>
      </c>
    </row>
    <row r="13" spans="1:4" ht="14.25" thickTop="1" thickBot="1">
      <c r="A13" s="994" t="str">
        <f>Datos!A13</f>
        <v>TOTAL</v>
      </c>
      <c r="B13" s="995">
        <f>SUBTOTAL(9,B9:B12)</f>
        <v>281</v>
      </c>
      <c r="C13" s="999">
        <f>SUBTOTAL(9,C9:C12)</f>
        <v>132</v>
      </c>
      <c r="D13" s="997">
        <f>SUBTOTAL(9,D9:D12)</f>
        <v>6941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71</v>
      </c>
      <c r="C16" s="450">
        <f>IF(ISNUMBER(Datos!Q16),Datos!Q16," - ")</f>
        <v>75</v>
      </c>
      <c r="D16" s="419">
        <f>IF(ISNUMBER(Datos!R16),Datos!R16," - ")</f>
        <v>206</v>
      </c>
    </row>
    <row r="17" spans="1:4" ht="13.5" thickBot="1">
      <c r="A17" s="413" t="str">
        <f>Datos!A17</f>
        <v>Jdos. Violencia contra la mujer</v>
      </c>
      <c r="B17" s="449">
        <f>IF(ISNUMBER(Datos!P17),Datos!P17," - ")</f>
        <v>3</v>
      </c>
      <c r="C17" s="450">
        <f>IF(ISNUMBER(Datos!Q17),Datos!Q17," - ")</f>
        <v>1</v>
      </c>
      <c r="D17" s="419">
        <f>IF(ISNUMBER(Datos!R17),Datos!R17," - ")</f>
        <v>8</v>
      </c>
    </row>
    <row r="18" spans="1:4" ht="14.25" thickTop="1" thickBot="1">
      <c r="A18" s="994" t="str">
        <f>Datos!A18</f>
        <v>TOTAL</v>
      </c>
      <c r="B18" s="995">
        <f>SUBTOTAL(9,B15:B17)</f>
        <v>74</v>
      </c>
      <c r="C18" s="999">
        <f>SUBTOTAL(9,C15:C17)</f>
        <v>76</v>
      </c>
      <c r="D18" s="997">
        <f>SUBTOTAL(9,D15:D17)</f>
        <v>214</v>
      </c>
    </row>
    <row r="19" spans="1:4" ht="16.5" customHeight="1" thickTop="1" thickBot="1">
      <c r="A19" s="939" t="str">
        <f>Datos!A19</f>
        <v>TOTAL JURISDICCIONES</v>
      </c>
      <c r="B19" s="944">
        <f>SUBTOTAL(9,B8:B18)</f>
        <v>355</v>
      </c>
      <c r="C19" s="945">
        <f>SUBTOTAL(9,C8:C18)</f>
        <v>208</v>
      </c>
      <c r="D19" s="946">
        <f>SUBTOTAL(9,D8:D18)</f>
        <v>7155</v>
      </c>
    </row>
    <row r="20" spans="1:4" ht="7.5" customHeight="1"/>
    <row r="21" spans="1:4" ht="6" customHeight="1"/>
    <row r="22" spans="1:4">
      <c r="A22" s="402" t="str">
        <f>Criterios!A4</f>
        <v>Fecha Informe: 29 nov. 2023</v>
      </c>
    </row>
    <row r="27" spans="1:4">
      <c r="A27" s="425"/>
    </row>
  </sheetData>
  <sheetProtection algorithmName="SHA-512" hashValue="j9WwQI3AJChvs9FGYQtnTT36McALcG/rc9PXDg5L00hT4KZCYKVrGTJA61gwcsfVBIcALmSPTUzOyZD2nm2MpA==" saltValue="bB77+UFKtCRnzaFtqj4d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LA OROTAVA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0.31111111111111112</v>
      </c>
      <c r="C10" s="472">
        <f>IF(ISNUMBER((Datos!J10-Datos!T10)/Datos!T10),(Datos!J10-Datos!T10)/Datos!T10," - ")</f>
        <v>0.2857142857142857</v>
      </c>
      <c r="D10" s="472">
        <f>IF(ISNUMBER((Datos!K10-Datos!U10)/Datos!U10),(Datos!K10-Datos!U10)/Datos!U10," - ")</f>
        <v>0.36363636363636365</v>
      </c>
      <c r="E10" s="472">
        <f>IF(ISNUMBER((Datos!L10-Datos!V10)/Datos!V10),(Datos!L10-Datos!V10)/Datos!V10," - ")</f>
        <v>0.29268292682926828</v>
      </c>
      <c r="F10" s="472">
        <f>IF(ISNUMBER((Datos!M10-Datos!W10)/Datos!W10),(Datos!M10-Datos!W10)/Datos!W10," - ")</f>
        <v>-0.125</v>
      </c>
      <c r="G10" s="473">
        <f>IF(ISNUMBER((Datos!N10-Datos!X10)/Datos!X10),(Datos!N10-Datos!X10)/Datos!X10," - ")</f>
        <v>1</v>
      </c>
      <c r="H10" s="471">
        <f>IF(ISNUMBER(((NºAsuntos!G10/NºAsuntos!E10)-Datos!BD10)/Datos!BD10),((NºAsuntos!G10/NºAsuntos!E10)-Datos!BD10)/Datos!BD10," - ")</f>
        <v>6.0606060606060677E-2</v>
      </c>
      <c r="I10" s="472">
        <f>IF(ISNUMBER(((NºAsuntos!I10/NºAsuntos!G10)-Datos!BE10)/Datos!BE10),((NºAsuntos!I10/NºAsuntos!G10)-Datos!BE10)/Datos!BE10," - ")</f>
        <v>-5.2032520325203231E-2</v>
      </c>
      <c r="J10" s="477">
        <f>IF(ISNUMBER((('Resol  Asuntos'!D10/NºAsuntos!G10)-Datos!BF10)/Datos!BF10),(('Resol  Asuntos'!D10/NºAsuntos!G10)-Datos!BF10)/Datos!BF10," - ")</f>
        <v>-0.35833333333333334</v>
      </c>
      <c r="K10" s="478">
        <f>IF(ISNUMBER((((NºAsuntos!C10+NºAsuntos!E10)/NºAsuntos!G10)-Datos!BG10)/Datos!BG10),(((NºAsuntos!C10+NºAsuntos!E10)/NºAsuntos!G10)-Datos!BG10)/Datos!BG10," - ")</f>
        <v>-4.1025641025641102E-2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2.7229676400947121E-2</v>
      </c>
      <c r="C12" s="472">
        <f>IF(ISNUMBER(
   IF(J_V="SI",(Datos!J12-Datos!T12)/Datos!T12,(Datos!J12+Datos!Z12-(Datos!T12+Datos!AH12))/(Datos!T12+Datos!AH12))
     ),IF(J_V="SI",(Datos!J12-Datos!T12)/Datos!T12,(Datos!J12+Datos!Z12-(Datos!T12+Datos!AH12))/(Datos!T12+Datos!AH12))," - ")</f>
        <v>0.2336842105263158</v>
      </c>
      <c r="D12" s="472">
        <f>IF(ISNUMBER(
   IF(J_V="SI",(Datos!K12-Datos!U12)/Datos!U12,(Datos!K12+Datos!AA12-(Datos!U12+Datos!AI12))/(Datos!U12+Datos!AI12))
     ),IF(J_V="SI",(Datos!K12-Datos!U12)/Datos!U12,(Datos!K12+Datos!AA12-(Datos!U12+Datos!AI12))/(Datos!U12+Datos!AI12))," - ")</f>
        <v>-9.0038314176245207E-2</v>
      </c>
      <c r="E12" s="472">
        <f>IF(ISNUMBER(
   IF(J_V="SI",(Datos!L12-Datos!V12)/Datos!V12,(Datos!L12+Datos!AB12-(Datos!V12+Datos!AJ12))/(Datos!V12+Datos!AJ12))
     ),IF(J_V="SI",(Datos!L12-Datos!V12)/Datos!V12,(Datos!L12+Datos!AB12-(Datos!V12+Datos!AJ12))/(Datos!V12+Datos!AJ12))," - ")</f>
        <v>0.15778688524590165</v>
      </c>
      <c r="F12" s="472">
        <f>IF(ISNUMBER((Datos!M12-Datos!W12)/Datos!W12),(Datos!M12-Datos!W12)/Datos!W12," - ")</f>
        <v>0.24545454545454545</v>
      </c>
      <c r="G12" s="473">
        <f>IF(ISNUMBER((Datos!N12-Datos!X12)/Datos!X12),(Datos!N12-Datos!X12)/Datos!X12," - ")</f>
        <v>7.1197411003236247E-2</v>
      </c>
      <c r="H12" s="471">
        <f>IF(ISNUMBER(((NºAsuntos!G12/NºAsuntos!E12)-Datos!BD12)/Datos!BD12),((NºAsuntos!G12/NºAsuntos!E12)-Datos!BD12)/Datos!BD12," - ")</f>
        <v>-0.26240307036470395</v>
      </c>
      <c r="I12" s="472">
        <f>IF(ISNUMBER(((NºAsuntos!I12/NºAsuntos!G12)-Datos!BE12)/Datos!BE12),((NºAsuntos!I12/NºAsuntos!G12)-Datos!BE12)/Datos!BE12," - ")</f>
        <v>0.27234685073339082</v>
      </c>
      <c r="J12" s="477">
        <f>IF(ISNUMBER((('Resol  Asuntos'!D12/NºAsuntos!G12)-Datos!BF12)/Datos!BF12),(('Resol  Asuntos'!D12/NºAsuntos!G12)-Datos!BF12)/Datos!BF12," - ")</f>
        <v>-2.5528870720490478E-2</v>
      </c>
      <c r="K12" s="478">
        <f>IF(ISNUMBER((((NºAsuntos!C12+NºAsuntos!E12)/NºAsuntos!G12)-Datos!BG12)/Datos!BG12),(((NºAsuntos!C12+NºAsuntos!E12)/NºAsuntos!G12)-Datos!BG12)/Datos!BG12," - ")</f>
        <v>0.19073660039881563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3.2183016673129117E-2</v>
      </c>
      <c r="C13" s="1001">
        <f>IF(ISNUMBER(
   IF(J_V="SI",(Datos!J13-Datos!T13)/Datos!T13,(Datos!J13+Datos!Z13-(Datos!T13+Datos!AH13))/(Datos!T13+Datos!AH13))
     ),IF(J_V="SI",(Datos!J13-Datos!T13)/Datos!T13,(Datos!J13+Datos!Z13-(Datos!T13+Datos!AH13))/(Datos!T13+Datos!AH13))," - ")</f>
        <v>0.23406478578892373</v>
      </c>
      <c r="D13" s="1001">
        <f>IF(ISNUMBER(
   IF(J_V="SI",(Datos!K13-Datos!U13)/Datos!U13,(Datos!K13+Datos!AA13-(Datos!U13+Datos!AI13))/(Datos!U13+Datos!AI13))
     ),IF(J_V="SI",(Datos!K13-Datos!U13)/Datos!U13,(Datos!K13+Datos!AA13-(Datos!U13+Datos!AI13))/(Datos!U13+Datos!AI13))," - ")</f>
        <v>-8.5308056872037921E-2</v>
      </c>
      <c r="E13" s="1001">
        <f>IF(ISNUMBER(
   IF(J_V="SI",(Datos!L13-Datos!V13)/Datos!V13,(Datos!L13+Datos!AB13-(Datos!V13+Datos!AJ13))/(Datos!V13+Datos!AJ13))
     ),IF(J_V="SI",(Datos!L13-Datos!V13)/Datos!V13,(Datos!L13+Datos!AB13-(Datos!V13+Datos!AJ13))/(Datos!V13+Datos!AJ13))," - ")</f>
        <v>0.1600161225312374</v>
      </c>
      <c r="F13" s="1002">
        <f>IF(ISNUMBER((Datos!M13-Datos!W13)/Datos!W13),(Datos!M13-Datos!W13)/Datos!W13," - ")</f>
        <v>0.23245614035087719</v>
      </c>
      <c r="G13" s="1003">
        <f>IF(ISNUMBER((Datos!N13-Datos!X13)/Datos!X13),(Datos!N13-Datos!X13)/Datos!X13," - ")</f>
        <v>8.0128205128205135E-2</v>
      </c>
      <c r="H13" s="1003">
        <f>IF(ISNUMBER(((NºAsuntos!G13/NºAsuntos!E13)-Datos!BD13)/Datos!BD13),((NºAsuntos!G13/NºAsuntos!E13)-Datos!BD13)/Datos!BD13," - ")</f>
        <v>-0.25879746860841685</v>
      </c>
      <c r="I13" s="1003">
        <f>IF(ISNUMBER(((NºAsuntos!I13/NºAsuntos!G13)-Datos!BE13)/Datos!BE13),((NºAsuntos!I13/NºAsuntos!G13)-Datos!BE13)/Datos!BE13," - ")</f>
        <v>0.26820415468440978</v>
      </c>
      <c r="J13" s="1003">
        <f>IF(ISNUMBER((('Resol  Asuntos'!D13/NºAsuntos!G13)-Datos!BF13)/Datos!BF13),(('Resol  Asuntos'!D13/NºAsuntos!G13)-Datos!BF13)/Datos!BF13," - ")</f>
        <v>-3.0891943577254277E-2</v>
      </c>
      <c r="K13" s="1003">
        <f>IF(ISNUMBER((((NºAsuntos!C13+NºAsuntos!E13)/NºAsuntos!G13)-Datos!BG13)/Datos!BG13),(((NºAsuntos!C13+NºAsuntos!E13)/NºAsuntos!G13)-Datos!BG13)/Datos!BG13," - ")</f>
        <v>0.18818283590837687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-0.30776255707762556</v>
      </c>
      <c r="C16" s="472">
        <f>IF(ISNUMBER(
   IF(D_I="SI",(Datos!J16-Datos!T16)/Datos!T16,(Datos!J16+Datos!AD16-(Datos!T16+Datos!AL16))/(Datos!T16+Datos!AL16))
     ),IF(D_I="SI",(Datos!J16-Datos!T16)/Datos!T16,(Datos!J16+Datos!AD16-(Datos!T16+Datos!AL16))/(Datos!T16+Datos!AL16))," - ")</f>
        <v>1.2897678417884782E-2</v>
      </c>
      <c r="D16" s="472">
        <f>IF(ISNUMBER(
   IF(D_I="SI",(Datos!K16-Datos!U16)/Datos!U16,(Datos!K16+Datos!AE16-(Datos!U16+Datos!AM16))/(Datos!U16+Datos!AM16))
     ),IF(D_I="SI",(Datos!K16-Datos!U16)/Datos!U16,(Datos!K16+Datos!AE16-(Datos!U16+Datos!AM16))/(Datos!U16+Datos!AM16))," - ")</f>
        <v>-6.5298507462686561E-2</v>
      </c>
      <c r="E16" s="472">
        <f>IF(ISNUMBER(
   IF(D_I="SI",(Datos!L16-Datos!V16)/Datos!V16,(Datos!L16+Datos!AF16-(Datos!V16+Datos!AN16))/(Datos!V16+Datos!AN16))
     ),IF(D_I="SI",(Datos!L16-Datos!V16)/Datos!V16,(Datos!L16+Datos!AF16-(Datos!V16+Datos!AN16))/(Datos!V16+Datos!AN16))," - ")</f>
        <v>-0.21247892074198987</v>
      </c>
      <c r="F16" s="472">
        <f>IF(ISNUMBER((Datos!M16-Datos!W16)/Datos!W16),(Datos!M16-Datos!W16)/Datos!W16," - ")</f>
        <v>5.6451612903225805E-2</v>
      </c>
      <c r="G16" s="473">
        <f>IF(ISNUMBER((Datos!N16-Datos!X16)/Datos!X16),(Datos!N16-Datos!X16)/Datos!X16," - ")</f>
        <v>-4.3831168831168832E-2</v>
      </c>
      <c r="H16" s="471">
        <f>IF(ISNUMBER(((NºAsuntos!G16/NºAsuntos!E16)-Datos!BD16)/Datos!BD16),((NºAsuntos!G16/NºAsuntos!E16)-Datos!BD16)/Datos!BD16," - ")</f>
        <v>-7.7200478929630223E-2</v>
      </c>
      <c r="I16" s="472">
        <f>IF(ISNUMBER(((NºAsuntos!I16/NºAsuntos!G16)-Datos!BE16)/Datos!BE16),((NºAsuntos!I16/NºAsuntos!G16)-Datos!BE16)/Datos!BE16," - ")</f>
        <v>-0.15746247807925456</v>
      </c>
      <c r="J16" s="477">
        <f>IF(ISNUMBER((('Resol  Asuntos'!D16/NºAsuntos!G16)-Datos!BF16)/Datos!BF16),(('Resol  Asuntos'!D16/NºAsuntos!G16)-Datos!BF16)/Datos!BF16," - ")</f>
        <v>0.13025561779666484</v>
      </c>
      <c r="K16" s="478">
        <f>IF(ISNUMBER((((NºAsuntos!C16+NºAsuntos!E16)/NºAsuntos!G16)-Datos!BG16)/Datos!BG16),(((NºAsuntos!C16+NºAsuntos!E16)/NºAsuntos!G16)-Datos!BG16)/Datos!BG16," - ")</f>
        <v>-8.2706155448182522E-2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-0.17293233082706766</v>
      </c>
      <c r="C17" s="472">
        <f>IF(ISNUMBER(
   IF(D_I="SI",(Datos!J17-Datos!T17)/Datos!T17,(Datos!J17+Datos!AD17-(Datos!T17+Datos!AL17))/(Datos!T17+Datos!AL17))
     ),IF(D_I="SI",(Datos!J17-Datos!T17)/Datos!T17,(Datos!J17+Datos!AD17-(Datos!T17+Datos!AL17))/(Datos!T17+Datos!AL17))," - ")</f>
        <v>0.2446043165467626</v>
      </c>
      <c r="D17" s="472">
        <f>IF(ISNUMBER(
   IF(D_I="SI",(Datos!K17-Datos!U17)/Datos!U17,(Datos!K17+Datos!AE17-(Datos!U17+Datos!AM17))/(Datos!U17+Datos!AM17))
     ),IF(D_I="SI",(Datos!K17-Datos!U17)/Datos!U17,(Datos!K17+Datos!AE17-(Datos!U17+Datos!AM17))/(Datos!U17+Datos!AM17))," - ")</f>
        <v>0.21739130434782608</v>
      </c>
      <c r="E17" s="472">
        <f>IF(ISNUMBER(
   IF(D_I="SI",(Datos!L17-Datos!V17)/Datos!V17,(Datos!L17+Datos!AF17-(Datos!V17+Datos!AN17))/(Datos!V17+Datos!AN17))
     ),IF(D_I="SI",(Datos!L17-Datos!V17)/Datos!V17,(Datos!L17+Datos!AF17-(Datos!V17+Datos!AN17))/(Datos!V17+Datos!AN17))," - ")</f>
        <v>-0.1417910447761194</v>
      </c>
      <c r="F17" s="472">
        <f>IF(ISNUMBER((Datos!M17-Datos!W17)/Datos!W17),(Datos!M17-Datos!W17)/Datos!W17," - ")</f>
        <v>0.52631578947368418</v>
      </c>
      <c r="G17" s="473">
        <f>IF(ISNUMBER((Datos!N17-Datos!X17)/Datos!X17),(Datos!N17-Datos!X17)/Datos!X17," - ")</f>
        <v>0.42857142857142855</v>
      </c>
      <c r="H17" s="471">
        <f>IF(ISNUMBER(((NºAsuntos!G17/NºAsuntos!E17)-Datos!BD17)/Datos!BD17),((NºAsuntos!G17/NºAsuntos!E17)-Datos!BD17)/Datos!BD17," - ")</f>
        <v>-2.1864790148278548E-2</v>
      </c>
      <c r="I17" s="472">
        <f>IF(ISNUMBER(((NºAsuntos!I17/NºAsuntos!G17)-Datos!BE17)/Datos!BE17),((NºAsuntos!I17/NºAsuntos!G17)-Datos!BE17)/Datos!BE17," - ")</f>
        <v>-0.29504264392324092</v>
      </c>
      <c r="J17" s="477">
        <f>IF(ISNUMBER((('Resol  Asuntos'!D17/NºAsuntos!G17)-Datos!BF17)/Datos!BF17),(('Resol  Asuntos'!D17/NºAsuntos!G17)-Datos!BF17)/Datos!BF17," - ")</f>
        <v>0.25375939849624057</v>
      </c>
      <c r="K17" s="478">
        <f>IF(ISNUMBER((((NºAsuntos!C17+NºAsuntos!E17)/NºAsuntos!G17)-Datos!BG17)/Datos!BG17),(((NºAsuntos!C17+NºAsuntos!E17)/NºAsuntos!G17)-Datos!BG17)/Datos!BG17," - ")</f>
        <v>-0.14535189075630256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-0.29315960912052119</v>
      </c>
      <c r="C18" s="1001">
        <f>IF(ISNUMBER(
   IF(Criterios!B14="SI",(Datos!J18-Datos!T18)/Datos!T18,(Datos!J18+Datos!AD18-(Datos!T18+Datos!AL18))/(Datos!T18+Datos!AL18))
     ),IF(Criterios!B14="SI",(Datos!J18-Datos!T18)/Datos!T18,(Datos!J18+Datos!AD18-(Datos!T18+Datos!AL18))/(Datos!T18+Datos!AL18))," - ")</f>
        <v>3.7634408602150539E-2</v>
      </c>
      <c r="D18" s="1001">
        <f>IF(ISNUMBER(
   IF(Criterios!B14="SI",(Datos!K18-Datos!U18)/Datos!U18,(Datos!K18+Datos!AE18-(Datos!U18+Datos!AM18))/(Datos!U18+Datos!AM18))
     ),IF(Criterios!B14="SI",(Datos!K18-Datos!U18)/Datos!U18,(Datos!K18+Datos!AE18-(Datos!U18+Datos!AM18))/(Datos!U18+Datos!AM18))," - ")</f>
        <v>-3.3057851239669422E-2</v>
      </c>
      <c r="E18" s="1001">
        <f>IF(ISNUMBER(
   IF(Criterios!B14="SI",(Datos!L18-Datos!V18)/Datos!V18,(Datos!L18+Datos!AF18-(Datos!V18+Datos!AN18))/(Datos!V18+Datos!AN18))
     ),IF(Criterios!B14="SI",(Datos!L18-Datos!V18)/Datos!V18,(Datos!L18+Datos!AF18-(Datos!V18+Datos!AN18))/(Datos!V18+Datos!AN18))," - ")</f>
        <v>-0.20530303030303029</v>
      </c>
      <c r="F18" s="1002">
        <f>IF(ISNUMBER((Datos!M18-Datos!W18)/Datos!W18),(Datos!M18-Datos!W18)/Datos!W18," - ")</f>
        <v>0.11888111888111888</v>
      </c>
      <c r="G18" s="1003">
        <f>IF(ISNUMBER((Datos!N18-Datos!X18)/Datos!X18),(Datos!N18-Datos!X18)/Datos!X18," - ")</f>
        <v>1.2857142857142857E-2</v>
      </c>
      <c r="H18" s="1003">
        <f>IF(ISNUMBER(((NºAsuntos!G18/NºAsuntos!E18)-Datos!BD18)/Datos!BD18),((NºAsuntos!G18/NºAsuntos!E18)-Datos!BD18)/Datos!BD18," - ")</f>
        <v>-6.812829186828244E-2</v>
      </c>
      <c r="I18" s="1003">
        <f>IF(ISNUMBER(((NºAsuntos!I18/NºAsuntos!G18)-Datos!BE18)/Datos!BE18),((NºAsuntos!I18/NºAsuntos!G18)-Datos!BE18)/Datos!BE18," - ")</f>
        <v>-0.17813390313390304</v>
      </c>
      <c r="J18" s="1003">
        <f>IF(ISNUMBER((('Resol  Asuntos'!D18/NºAsuntos!G18)-Datos!BF18)/Datos!BF18),(('Resol  Asuntos'!D18/NºAsuntos!G18)-Datos!BF18)/Datos!BF18," - ")</f>
        <v>0.15713346482577265</v>
      </c>
      <c r="K18" s="1003">
        <f>IF(ISNUMBER((((NºAsuntos!C18+NºAsuntos!E18)/NºAsuntos!G18)-Datos!BG18)/Datos!BG18),(((NºAsuntos!C18+NºAsuntos!E18)/NºAsuntos!G18)-Datos!BG18)/Datos!BG18," - ")</f>
        <v>-9.2939427722036422E-2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-7.2760703966377724E-2</v>
      </c>
      <c r="C19" s="948">
        <f>IF(ISNUMBER(
   IF(J_V="SI",(Datos!J19-Datos!T19)/Datos!T19,(Datos!J19+Datos!Z19-(Datos!T19+Datos!AH19))/(Datos!T19+Datos!AH19))
     ),IF(J_V="SI",(Datos!J19-Datos!T19)/Datos!T19,(Datos!J19+Datos!Z19-(Datos!T19+Datos!AH19))/(Datos!T19+Datos!AH19))," - ")</f>
        <v>0.12084993359893759</v>
      </c>
      <c r="D19" s="948">
        <f>IF(ISNUMBER(
   IF(J_V="SI",(Datos!K19-Datos!U19)/Datos!U19,(Datos!K19+Datos!AA19-(Datos!U19+Datos!AI19))/(Datos!U19+Datos!AI19))
     ),IF(J_V="SI",(Datos!K19-Datos!U19)/Datos!U19,(Datos!K19+Datos!AA19-(Datos!U19+Datos!AI19))/(Datos!U19+Datos!AI19))," - ")</f>
        <v>-5.7395143487858721E-2</v>
      </c>
      <c r="E19" s="948">
        <f>IF(ISNUMBER(
   IF(J_V="SI",(Datos!L19-Datos!V19)/Datos!V19,(Datos!L19+Datos!AB19-(Datos!V19+Datos!AJ19))/(Datos!V19+Datos!AJ19))
     ),IF(J_V="SI",(Datos!L19-Datos!V19)/Datos!V19,(Datos!L19+Datos!AB19-(Datos!V19+Datos!AJ19))/(Datos!V19+Datos!AJ19))," - ")</f>
        <v>3.3149171270718231E-2</v>
      </c>
      <c r="F19" s="949">
        <f>IF(ISNUMBER((Datos!M19-Datos!W19)/Datos!W19),(Datos!M19-Datos!W19)/Datos!W19," - ")</f>
        <v>0.18867924528301888</v>
      </c>
      <c r="G19" s="950">
        <f>IF(ISNUMBER((Datos!N19-Datos!X19)/Datos!X19),(Datos!N19-Datos!X19)/Datos!X19," - ")</f>
        <v>3.3596837944664032E-2</v>
      </c>
      <c r="H19" s="951">
        <f>IF(ISNUMBER((Tasas!B19-Datos!BD19)/Datos!BD19),(Tasas!B19-Datos!BD19)/Datos!BD19," - ")</f>
        <v>-0.15902670977056585</v>
      </c>
      <c r="I19" s="952">
        <f>IF(ISNUMBER((Tasas!C19-Datos!BE19)/Datos!BE19),(Tasas!C19-Datos!BE19)/Datos!BE19," - ")</f>
        <v>9.6057551722799436E-2</v>
      </c>
      <c r="J19" s="953">
        <f>IF(ISNUMBER((Tasas!D19-Datos!BF19)/Datos!BF19),(Tasas!D19-Datos!BF19)/Datos!BF19," - ")</f>
        <v>1.7070563079116193E-2</v>
      </c>
      <c r="K19" s="953">
        <f>IF(ISNUMBER((Tasas!E19-Datos!BG19)/Datos!BG19),(Tasas!E19-Datos!BG19)/Datos!BG19," - ")</f>
        <v>6.0190365001378365E-2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2DhqbGbm7DdkAV8e/MqtT4pPlzW4yPwGozQcQS6T4uf75sg8M0OMzTeGrCeSKCtij9ONag5seecSlqntkJ2bQ==" saltValue="3yEemkzdiv0ppjD5vDD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LA OROTAVA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1.6666666666666667</v>
      </c>
      <c r="C10" s="459">
        <f>IF(ISNUMBER(NºAsuntos!I10/NºAsuntos!G10),NºAsuntos!I10/NºAsuntos!G10," - ")</f>
        <v>3.5333333333333332</v>
      </c>
      <c r="D10" s="460">
        <f>IF(ISNUMBER('Resol  Asuntos'!D10/NºAsuntos!G10),'Resol  Asuntos'!D10/NºAsuntos!G10," - ")</f>
        <v>0.46666666666666667</v>
      </c>
      <c r="E10" s="461">
        <f>IF(ISNUMBER((NºAsuntos!C10+NºAsuntos!E10)/NºAsuntos!G10),(NºAsuntos!C10+NºAsuntos!E10)/NºAsuntos!G10," - ")</f>
        <v>4.5333333333333332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0.81058020477815695</v>
      </c>
      <c r="C12" s="459">
        <f>IF(ISNUMBER(NºAsuntos!I12/NºAsuntos!G12),NºAsuntos!I12/NºAsuntos!G12," - ")</f>
        <v>2.9736842105263159</v>
      </c>
      <c r="D12" s="460">
        <f>IF(ISNUMBER('Resol  Asuntos'!D12/NºAsuntos!G12),'Resol  Asuntos'!D12/NºAsuntos!G12," - ")</f>
        <v>0.28842105263157897</v>
      </c>
      <c r="E12" s="461">
        <f>IF(ISNUMBER((NºAsuntos!C12+NºAsuntos!E12)/NºAsuntos!G12),(NºAsuntos!C12+NºAsuntos!E12)/NºAsuntos!G12," - ")</f>
        <v>3.9736842105263159</v>
      </c>
      <c r="G12" s="479"/>
    </row>
    <row r="13" spans="1:7" ht="14.25" thickTop="1" thickBot="1">
      <c r="A13" s="994" t="str">
        <f>Datos!A13</f>
        <v>TOTAL</v>
      </c>
      <c r="B13" s="1004">
        <f>IF(ISNUMBER(NºAsuntos!G13/NºAsuntos!E13),NºAsuntos!G13/NºAsuntos!E13," - ")</f>
        <v>0.81710414902624895</v>
      </c>
      <c r="C13" s="1005">
        <f>IF(ISNUMBER(NºAsuntos!I13/NºAsuntos!G13),NºAsuntos!I13/NºAsuntos!G13," - ")</f>
        <v>2.982383419689119</v>
      </c>
      <c r="D13" s="1006">
        <f>IF(ISNUMBER('Resol  Asuntos'!D13/NºAsuntos!G13),'Resol  Asuntos'!D13/NºAsuntos!G13," - ")</f>
        <v>0.29119170984455961</v>
      </c>
      <c r="E13" s="1007">
        <f>IF(ISNUMBER((NºAsuntos!C13+NºAsuntos!E13)/NºAsuntos!G13),(NºAsuntos!C13+NºAsuntos!E13)/NºAsuntos!G13," - ")</f>
        <v>3.982383419689119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0.85059422750424452</v>
      </c>
      <c r="C16" s="459">
        <f>IF(ISNUMBER(NºAsuntos!I16/NºAsuntos!G16),NºAsuntos!I16/NºAsuntos!G16," - ")</f>
        <v>0.93213572854291415</v>
      </c>
      <c r="D16" s="460">
        <f>IF(ISNUMBER('Resol  Asuntos'!D16/NºAsuntos!G16),'Resol  Asuntos'!D16/NºAsuntos!G16," - ")</f>
        <v>0.13073852295409183</v>
      </c>
      <c r="E16" s="461">
        <f>IF(ISNUMBER((NºAsuntos!C16+NºAsuntos!E16)/NºAsuntos!G16),(NºAsuntos!C16+NºAsuntos!E16)/NºAsuntos!G16," - ")</f>
        <v>1.9321357285429142</v>
      </c>
      <c r="G16" s="479"/>
    </row>
    <row r="17" spans="1:7" ht="13.5" thickBot="1">
      <c r="A17" s="413" t="str">
        <f>Datos!A17</f>
        <v>Jdos. Violencia contra la mujer</v>
      </c>
      <c r="B17" s="458">
        <f>IF(ISNUMBER(NºAsuntos!G17/NºAsuntos!E17),NºAsuntos!G17/NºAsuntos!E17," - ")</f>
        <v>0.97109826589595372</v>
      </c>
      <c r="C17" s="459">
        <f>IF(ISNUMBER(NºAsuntos!I17/NºAsuntos!G17),NºAsuntos!I17/NºAsuntos!G17," - ")</f>
        <v>0.68452380952380953</v>
      </c>
      <c r="D17" s="460">
        <f>IF(ISNUMBER('Resol  Asuntos'!D17/NºAsuntos!G17),'Resol  Asuntos'!D17/NºAsuntos!G17," - ")</f>
        <v>0.17261904761904762</v>
      </c>
      <c r="E17" s="461">
        <f>IF(ISNUMBER((NºAsuntos!C17+NºAsuntos!E17)/NºAsuntos!G17),(NºAsuntos!C17+NºAsuntos!E17)/NºAsuntos!G17," - ")</f>
        <v>1.6845238095238095</v>
      </c>
      <c r="G17" s="479"/>
    </row>
    <row r="18" spans="1:7" ht="14.25" thickTop="1" thickBot="1">
      <c r="A18" s="994" t="str">
        <f>Datos!A18</f>
        <v>TOTAL</v>
      </c>
      <c r="B18" s="1004">
        <f>IF(ISNUMBER(NºAsuntos!G18/NºAsuntos!E18),NºAsuntos!G18/NºAsuntos!E18," - ")</f>
        <v>0.86602516654330131</v>
      </c>
      <c r="C18" s="1005">
        <f>IF(ISNUMBER(NºAsuntos!I18/NºAsuntos!G18),NºAsuntos!I18/NºAsuntos!G18," - ")</f>
        <v>0.89658119658119662</v>
      </c>
      <c r="D18" s="1008">
        <f>IF(ISNUMBER('Resol  Asuntos'!D18/NºAsuntos!G18),'Resol  Asuntos'!D18/NºAsuntos!G18," - ")</f>
        <v>0.13675213675213677</v>
      </c>
      <c r="E18" s="1007">
        <f>IF(ISNUMBER((NºAsuntos!C18+NºAsuntos!E18)/NºAsuntos!G18),(NºAsuntos!C18+NºAsuntos!E18)/NºAsuntos!G18," - ")</f>
        <v>1.8965811965811965</v>
      </c>
      <c r="G18" s="479"/>
    </row>
    <row r="19" spans="1:7" ht="15.75" customHeight="1" thickTop="1" thickBot="1">
      <c r="A19" s="939" t="str">
        <f>Datos!A19</f>
        <v>TOTAL JURISDICCIONES</v>
      </c>
      <c r="B19" s="954">
        <f>IF(ISNUMBER(NºAsuntos!G19/NºAsuntos!E19),NºAsuntos!G19/NºAsuntos!E19," - ")</f>
        <v>0.84320695102685628</v>
      </c>
      <c r="C19" s="955">
        <f>IF(ISNUMBER(NºAsuntos!I19/NºAsuntos!G19),NºAsuntos!I19/NºAsuntos!G19," - ")</f>
        <v>1.839344262295082</v>
      </c>
      <c r="D19" s="956">
        <f>IF(ISNUMBER('Resol  Asuntos'!D19/NºAsuntos!G19),'Resol  Asuntos'!D19/NºAsuntos!G19," - ")</f>
        <v>0.20655737704918034</v>
      </c>
      <c r="E19" s="957">
        <f>IF(ISNUMBER((NºAsuntos!C19+NºAsuntos!E19)/NºAsuntos!G19),(NºAsuntos!C19+NºAsuntos!E19)/NºAsuntos!G19," - ")</f>
        <v>2.8393442622950822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lHt76Y5PoLvDQ9SRYMiNj28WaG655fyvuS8lRDtQ9X7ORaWFmlUnJlvaSMg0dOP2t8VYOiyBxaMAsUOHPFkGQ==" saltValue="B/kTrvqX6IB+0pfcCTg6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LA OROTAVA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59</v>
      </c>
      <c r="G10" s="342">
        <f>IF(ISNUMBER(Datos!I10),Datos!I10," - ")</f>
        <v>59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15</v>
      </c>
      <c r="X10" s="230">
        <f>IF(ISNUMBER(Datos!Q10),Datos!Q10," - ")</f>
        <v>0</v>
      </c>
      <c r="Y10" s="343">
        <f t="shared" ref="Y10:Y12" si="0">SUM(W10:X10)</f>
        <v>15</v>
      </c>
      <c r="Z10" s="344" t="str">
        <f>IF(ISNUMBER(Datos!CC10),Datos!CC10," - ")</f>
        <v xml:space="preserve"> - </v>
      </c>
      <c r="AA10" s="341">
        <f>IF(ISNUMBER(Datos!L10),Datos!L10,"-")</f>
        <v>53</v>
      </c>
      <c r="AB10" s="343">
        <f>IF(ISNUMBER(Datos!R10),Datos!R10," - ")</f>
        <v>0</v>
      </c>
      <c r="AC10" s="343">
        <f t="shared" ref="AC10:AC12" si="1">IF(ISNUMBER(AA10+AB10),AA10+AB10," - ")</f>
        <v>53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1.6666666666666667</v>
      </c>
      <c r="AM10" s="264">
        <f>IF(ISNUMBER(((NºAsuntos!I10/NºAsuntos!G10)*11)/factor_trimestre),((NºAsuntos!I10/NºAsuntos!G10)*11)/factor_trimestre," - ")</f>
        <v>7.0666666666666664</v>
      </c>
      <c r="AN10" s="248">
        <f>IF(ISNUMBER('Resol  Asuntos'!D10/NºAsuntos!G10),'Resol  Asuntos'!D10/NºAsuntos!G10," - ")</f>
        <v>0.46666666666666667</v>
      </c>
      <c r="AO10" s="249">
        <f>IF(ISNUMBER((NºAsuntos!C10+NºAsuntos!E10)/NºAsuntos!G10),(NºAsuntos!C10+NºAsuntos!E10)/NºAsuntos!G10," - ")</f>
        <v>4.5333333333333332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132</v>
      </c>
      <c r="Y12" s="343">
        <f t="shared" si="0"/>
        <v>132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6941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274</v>
      </c>
      <c r="AJ12" s="233" t="str">
        <f>IF(ISNUMBER(Datos!BW12),Datos!BW12," - ")</f>
        <v xml:space="preserve"> - </v>
      </c>
      <c r="AK12" s="232" t="str">
        <f>IF(ISNUMBER(Datos!BX12),Datos!BX12," - ")</f>
        <v xml:space="preserve"> - </v>
      </c>
      <c r="AL12" s="247">
        <f>IF(ISNUMBER(NºAsuntos!G12/NºAsuntos!E12),NºAsuntos!G12/NºAsuntos!E12," - ")</f>
        <v>0.81058020477815695</v>
      </c>
      <c r="AM12" s="264">
        <f>IF(ISNUMBER(((NºAsuntos!I12/NºAsuntos!G12)*11)/factor_trimestre),((NºAsuntos!I12/NºAsuntos!G12)*11)/factor_trimestre," - ")</f>
        <v>5.947368421052631</v>
      </c>
      <c r="AN12" s="248">
        <f>IF(ISNUMBER('Resol  Asuntos'!D12/NºAsuntos!G12),'Resol  Asuntos'!D12/NºAsuntos!G12," - ")</f>
        <v>0.28842105263157897</v>
      </c>
      <c r="AO12" s="249">
        <f>IF(ISNUMBER((NºAsuntos!C12+NºAsuntos!E12)/NºAsuntos!G12),(NºAsuntos!C12+NºAsuntos!E12)/NºAsuntos!G12," - ")</f>
        <v>3.9736842105263159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59</v>
      </c>
      <c r="G13" s="1012">
        <f t="shared" si="3"/>
        <v>59</v>
      </c>
      <c r="H13" s="1011">
        <f t="shared" si="3"/>
        <v>0</v>
      </c>
      <c r="I13" s="1013">
        <f t="shared" si="3"/>
        <v>0</v>
      </c>
      <c r="J13" s="1013">
        <f t="shared" si="3"/>
        <v>0</v>
      </c>
      <c r="K13" s="1013">
        <f t="shared" si="3"/>
        <v>0</v>
      </c>
      <c r="L13" s="1013">
        <f t="shared" si="3"/>
        <v>281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15</v>
      </c>
      <c r="X13" s="1013">
        <f t="shared" si="4"/>
        <v>132</v>
      </c>
      <c r="Y13" s="1014">
        <f t="shared" si="4"/>
        <v>147</v>
      </c>
      <c r="Z13" s="1014">
        <f t="shared" si="4"/>
        <v>0</v>
      </c>
      <c r="AA13" s="1014">
        <f t="shared" si="4"/>
        <v>53</v>
      </c>
      <c r="AB13" s="1014">
        <f t="shared" si="4"/>
        <v>6941</v>
      </c>
      <c r="AC13" s="1014">
        <f t="shared" si="4"/>
        <v>53</v>
      </c>
      <c r="AD13" s="1014">
        <f t="shared" si="4"/>
        <v>0</v>
      </c>
      <c r="AE13" s="1018">
        <f t="shared" si="4"/>
        <v>0</v>
      </c>
      <c r="AF13" s="1011">
        <f t="shared" si="4"/>
        <v>0</v>
      </c>
      <c r="AG13" s="1019">
        <f t="shared" si="4"/>
        <v>0</v>
      </c>
      <c r="AH13" s="1016">
        <f t="shared" si="4"/>
        <v>0</v>
      </c>
      <c r="AI13" s="1011">
        <f t="shared" si="4"/>
        <v>281</v>
      </c>
      <c r="AJ13" s="1013">
        <f t="shared" si="4"/>
        <v>0</v>
      </c>
      <c r="AK13" s="1016">
        <f>SUBTOTAL(9,AK9:AK12)</f>
        <v>0</v>
      </c>
      <c r="AL13" s="1020">
        <f>IF(ISNUMBER(NºAsuntos!G13/NºAsuntos!E13),NºAsuntos!G13/NºAsuntos!E13," - ")</f>
        <v>0.81710414902624895</v>
      </c>
      <c r="AM13" s="1020">
        <f>IF(ISNUMBER(((NºAsuntos!I13/NºAsuntos!G13)*11)/factor_trimestre),((NºAsuntos!I13/NºAsuntos!G13)*11)/factor_trimestre," - ")</f>
        <v>5.9647668393782389</v>
      </c>
      <c r="AN13" s="1021">
        <f>IF(ISNUMBER('Resol  Asuntos'!D13/NºAsuntos!G13),'Resol  Asuntos'!D13/NºAsuntos!G13," - ")</f>
        <v>0.29119170984455961</v>
      </c>
      <c r="AO13" s="1022">
        <f>IF(ISNUMBER((NºAsuntos!C13+NºAsuntos!E13)/NºAsuntos!G13),(NºAsuntos!C13+NºAsuntos!E13)/NºAsuntos!G13," - ")</f>
        <v>3.982383419689119</v>
      </c>
      <c r="AP13" s="1023" t="str">
        <f t="shared" si="2"/>
        <v xml:space="preserve"> - </v>
      </c>
      <c r="AQ13" s="1023">
        <f>IF(ISNUMBER((H13-W13+K13)/(F13)),(H13-W13+K13)/(F13)," - ")</f>
        <v>-0.25423728813559321</v>
      </c>
      <c r="AR13" s="1024">
        <f>IF(ISNUMBER((Datos!P13-Datos!Q13)/(Datos!R13-Datos!P13+Datos!Q13)),(Datos!P13-Datos!Q13)/(Datos!R13-Datos!P13+Datos!Q13)," - ")</f>
        <v>2.1937573616018845E-2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758</v>
      </c>
      <c r="G16" s="342">
        <f>IF(ISNUMBER(IF(D_I="SI",Datos!I16,Datos!I16+Datos!AC16)),IF(D_I="SI",Datos!I16,Datos!I16+Datos!AC16)," - ")</f>
        <v>758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1002</v>
      </c>
      <c r="X16" s="230">
        <f>IF(ISNUMBER(Datos!Q16),Datos!Q16," - ")</f>
        <v>75</v>
      </c>
      <c r="Y16" s="343">
        <f t="shared" ref="Y16:Y17" si="7">SUM(W16:X16)</f>
        <v>1077</v>
      </c>
      <c r="Z16" s="344" t="str">
        <f>IF(ISNUMBER(Datos!CC16),Datos!CC16," - ")</f>
        <v xml:space="preserve"> - </v>
      </c>
      <c r="AA16" s="341">
        <f>IF(ISNUMBER(IF(D_I="SI",Datos!L16,Datos!L16+Datos!AF16)),IF(D_I="SI",Datos!L16,Datos!L16+Datos!AF16)," - ")</f>
        <v>934</v>
      </c>
      <c r="AB16" s="343">
        <f>IF(ISNUMBER(Datos!R16),Datos!R16," - ")</f>
        <v>206</v>
      </c>
      <c r="AC16" s="343">
        <f t="shared" si="6"/>
        <v>1140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131</v>
      </c>
      <c r="AJ16" s="235" t="str">
        <f>IF(ISNUMBER(Datos!BW16),Datos!BW16," - ")</f>
        <v xml:space="preserve"> - </v>
      </c>
      <c r="AK16" s="236" t="str">
        <f>IF(ISNUMBER(Datos!BX16),Datos!BX16," - ")</f>
        <v xml:space="preserve"> - </v>
      </c>
      <c r="AL16" s="247">
        <f>IF(ISNUMBER(NºAsuntos!G16/NºAsuntos!E16),NºAsuntos!G16/NºAsuntos!E16," - ")</f>
        <v>0.85059422750424452</v>
      </c>
      <c r="AM16" s="264">
        <f>IF(ISNUMBER(((NºAsuntos!I16/NºAsuntos!G16)*11)/factor_trimestre),((NºAsuntos!I16/NºAsuntos!G16)*11)/factor_trimestre," - ")</f>
        <v>1.8642714570858283</v>
      </c>
      <c r="AN16" s="248">
        <f>IF(ISNUMBER('Resol  Asuntos'!D16/NºAsuntos!G16),'Resol  Asuntos'!D16/NºAsuntos!G16," - ")</f>
        <v>0.13073852295409183</v>
      </c>
      <c r="AO16" s="249">
        <f>IF(ISNUMBER((NºAsuntos!C16+NºAsuntos!E16)/NºAsuntos!G16),(NºAsuntos!C16+NºAsuntos!E16)/NºAsuntos!G16," - ")</f>
        <v>1.9321357285429142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168</v>
      </c>
      <c r="X17" s="230">
        <f>IF(ISNUMBER(Datos!Q17),Datos!Q17," - ")</f>
        <v>1</v>
      </c>
      <c r="Y17" s="343">
        <f t="shared" si="7"/>
        <v>169</v>
      </c>
      <c r="Z17" s="344" t="str">
        <f>IF(ISNUMBER(Datos!CC17),Datos!CC17," - ")</f>
        <v xml:space="preserve"> - </v>
      </c>
      <c r="AA17" s="341">
        <f>IF(ISNUMBER(Datos!L17),Datos!L17,"-")</f>
        <v>115</v>
      </c>
      <c r="AB17" s="343">
        <f>IF(ISNUMBER(Datos!R17),Datos!R17," - ")</f>
        <v>8</v>
      </c>
      <c r="AC17" s="343">
        <f t="shared" si="6"/>
        <v>123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29</v>
      </c>
      <c r="AJ17" s="235" t="str">
        <f>IF(ISNUMBER(Datos!BW17),Datos!BW17," - ")</f>
        <v xml:space="preserve"> - </v>
      </c>
      <c r="AK17" s="236" t="str">
        <f>IF(ISNUMBER(Datos!BX17),Datos!BX17," - ")</f>
        <v xml:space="preserve"> - </v>
      </c>
      <c r="AL17" s="247">
        <f>IF(ISNUMBER(NºAsuntos!G17/NºAsuntos!E17),NºAsuntos!G17/NºAsuntos!E17," - ")</f>
        <v>0.97109826589595372</v>
      </c>
      <c r="AM17" s="264">
        <f>IF(ISNUMBER(((NºAsuntos!I17/NºAsuntos!G17)*11)/factor_trimestre),((NºAsuntos!I17/NºAsuntos!G17)*11)/factor_trimestre," - ")</f>
        <v>1.3690476190476191</v>
      </c>
      <c r="AN17" s="248">
        <f>IF(ISNUMBER('Resol  Asuntos'!D17/NºAsuntos!G17),'Resol  Asuntos'!D17/NºAsuntos!G17," - ")</f>
        <v>0.17261904761904762</v>
      </c>
      <c r="AO17" s="249">
        <f>IF(ISNUMBER((NºAsuntos!C17+NºAsuntos!E17)/NºAsuntos!G17),(NºAsuntos!C17+NºAsuntos!E17)/NºAsuntos!G17," - ")</f>
        <v>1.6845238095238095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758</v>
      </c>
      <c r="G18" s="1012">
        <f>SUBTOTAL(9,G15:G17)</f>
        <v>868</v>
      </c>
      <c r="H18" s="1011">
        <f t="shared" ref="H18:O18" si="10">SUBTOTAL(9,H14:H17)</f>
        <v>0</v>
      </c>
      <c r="I18" s="1013">
        <f t="shared" si="10"/>
        <v>0</v>
      </c>
      <c r="J18" s="1013">
        <f t="shared" si="10"/>
        <v>0</v>
      </c>
      <c r="K18" s="1013">
        <f t="shared" si="10"/>
        <v>0</v>
      </c>
      <c r="L18" s="1013">
        <f t="shared" si="10"/>
        <v>74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1170</v>
      </c>
      <c r="X18" s="1013">
        <f t="shared" si="11"/>
        <v>76</v>
      </c>
      <c r="Y18" s="1014">
        <f t="shared" si="11"/>
        <v>1246</v>
      </c>
      <c r="Z18" s="1014">
        <f t="shared" si="11"/>
        <v>0</v>
      </c>
      <c r="AA18" s="1014">
        <f t="shared" si="11"/>
        <v>1049</v>
      </c>
      <c r="AB18" s="1014">
        <f t="shared" si="11"/>
        <v>214</v>
      </c>
      <c r="AC18" s="1014">
        <f t="shared" si="11"/>
        <v>1263</v>
      </c>
      <c r="AD18" s="1014">
        <f t="shared" si="11"/>
        <v>0</v>
      </c>
      <c r="AE18" s="1018">
        <f t="shared" si="11"/>
        <v>0</v>
      </c>
      <c r="AF18" s="1011">
        <f t="shared" si="11"/>
        <v>0</v>
      </c>
      <c r="AG18" s="1019">
        <f t="shared" si="11"/>
        <v>0</v>
      </c>
      <c r="AH18" s="1016">
        <f t="shared" si="11"/>
        <v>0</v>
      </c>
      <c r="AI18" s="1011">
        <f t="shared" si="11"/>
        <v>160</v>
      </c>
      <c r="AJ18" s="1013">
        <f t="shared" si="11"/>
        <v>0</v>
      </c>
      <c r="AK18" s="1016">
        <f t="shared" si="11"/>
        <v>0</v>
      </c>
      <c r="AL18" s="1020">
        <f>IF(ISNUMBER(NºAsuntos!G18/NºAsuntos!E18),NºAsuntos!G18/NºAsuntos!E18," - ")</f>
        <v>0.86602516654330131</v>
      </c>
      <c r="AM18" s="1020">
        <f>IF(ISNUMBER(((NºAsuntos!I18/NºAsuntos!G18)*11)/factor_trimestre),((NºAsuntos!I18/NºAsuntos!G18)*11)/factor_trimestre," - ")</f>
        <v>1.7931623931623932</v>
      </c>
      <c r="AN18" s="1021">
        <f>IF(ISNUMBER('Resol  Asuntos'!D18/NºAsuntos!G18),'Resol  Asuntos'!D18/NºAsuntos!G18," - ")</f>
        <v>0.13675213675213677</v>
      </c>
      <c r="AO18" s="1022">
        <f>IF(ISNUMBER((NºAsuntos!C18+NºAsuntos!E18)/NºAsuntos!G18),(NºAsuntos!C18+NºAsuntos!E18)/NºAsuntos!G18," - ")</f>
        <v>1.8965811965811965</v>
      </c>
      <c r="AP18" s="1023" t="str">
        <f t="shared" si="2"/>
        <v xml:space="preserve"> - </v>
      </c>
      <c r="AQ18" s="1023">
        <f>IF(ISNUMBER((H18-W18+K18)/(F18)),(H18-W18+K18)/(F18)," - ")</f>
        <v>-1.5435356200527703</v>
      </c>
      <c r="AR18" s="1024">
        <f>IF(ISNUMBER((Datos!P18-Datos!Q18)/(Datos!R18-Datos!P18+Datos!Q18)),(Datos!P18-Datos!Q18)/(Datos!R18-Datos!P18+Datos!Q18)," - ")</f>
        <v>-9.2592592592592587E-3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817</v>
      </c>
      <c r="G19" s="967">
        <f t="shared" si="13"/>
        <v>927</v>
      </c>
      <c r="H19" s="966">
        <f t="shared" si="13"/>
        <v>0</v>
      </c>
      <c r="I19" s="968">
        <f t="shared" si="13"/>
        <v>0</v>
      </c>
      <c r="J19" s="968">
        <f t="shared" si="13"/>
        <v>0</v>
      </c>
      <c r="K19" s="1027">
        <f t="shared" si="13"/>
        <v>0</v>
      </c>
      <c r="L19" s="968">
        <f t="shared" si="13"/>
        <v>355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1185</v>
      </c>
      <c r="X19" s="967">
        <f t="shared" si="14"/>
        <v>208</v>
      </c>
      <c r="Y19" s="974">
        <f t="shared" si="14"/>
        <v>1393</v>
      </c>
      <c r="Z19" s="974">
        <f t="shared" si="14"/>
        <v>0</v>
      </c>
      <c r="AA19" s="974">
        <f t="shared" si="14"/>
        <v>1102</v>
      </c>
      <c r="AB19" s="974">
        <f t="shared" si="14"/>
        <v>7155</v>
      </c>
      <c r="AC19" s="974">
        <f t="shared" si="14"/>
        <v>1316</v>
      </c>
      <c r="AD19" s="974">
        <f t="shared" si="14"/>
        <v>0</v>
      </c>
      <c r="AE19" s="976">
        <f t="shared" si="14"/>
        <v>0</v>
      </c>
      <c r="AF19" s="977">
        <f t="shared" si="14"/>
        <v>0</v>
      </c>
      <c r="AG19" s="978">
        <f t="shared" si="14"/>
        <v>0</v>
      </c>
      <c r="AH19" s="976">
        <f t="shared" si="14"/>
        <v>0</v>
      </c>
      <c r="AI19" s="966">
        <f t="shared" si="14"/>
        <v>441</v>
      </c>
      <c r="AJ19" s="966">
        <f t="shared" si="14"/>
        <v>0</v>
      </c>
      <c r="AK19" s="976">
        <f t="shared" si="14"/>
        <v>0</v>
      </c>
      <c r="AL19" s="1030">
        <f>IF(ISNUMBER(NºAsuntos!G19/NºAsuntos!E19),NºAsuntos!G19/NºAsuntos!E19," - ")</f>
        <v>0.84320695102685628</v>
      </c>
      <c r="AM19" s="1031">
        <f>IF(ISNUMBER(((NºAsuntos!I19/NºAsuntos!G19)*11)/factor_trimestre),((NºAsuntos!I19/NºAsuntos!G19)*11)/factor_trimestre," - ")</f>
        <v>3.6786885245901639</v>
      </c>
      <c r="AN19" s="1031">
        <f>IF(ISNUMBER('Resol  Asuntos'!D19/NºAsuntos!G19),'Resol  Asuntos'!D19/NºAsuntos!G19," - ")</f>
        <v>0.20655737704918034</v>
      </c>
      <c r="AO19" s="1032">
        <f>IF(ISNUMBER((NºAsuntos!C19+NºAsuntos!E19)/NºAsuntos!G19),(NºAsuntos!C19+NºAsuntos!E19)/NºAsuntos!G19," - ")</f>
        <v>2.8393442622950822</v>
      </c>
      <c r="AP19" s="1033" t="str">
        <f t="shared" si="2"/>
        <v xml:space="preserve"> - </v>
      </c>
      <c r="AQ19" s="1034">
        <f>IF(OR(ISNUMBER(FIND("01",Criterios!A8,1)),ISNUMBER(FIND("02",Criterios!A8,1)),ISNUMBER(FIND("03",Criterios!A8,1)),ISNUMBER(FIND("04",Criterios!A8,1))),(I19-W19+K19)/(F19-K19),(H19-W19+K19)/(F19-K19))</f>
        <v>-1.4504283965728275</v>
      </c>
      <c r="AR19" s="1035">
        <f>IF(ISNUMBER((Datos!P19-Datos!Q19)/(Datos!R19-Datos!P19+Datos!Q19)),(Datos!P19-Datos!Q19)/(Datos!R19-Datos!P19+Datos!Q19)," - ")</f>
        <v>2.0976027397260275E-2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370.8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403.5678381635484</v>
      </c>
      <c r="G21" s="257">
        <f>IF(ISNUMBER(STDEV(G8:G18)),STDEV(G8:G18),"-")</f>
        <v>406.0747468139333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565.28709520030611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116.6481890129461</v>
      </c>
      <c r="AJ21" s="256">
        <f t="shared" si="18"/>
        <v>0</v>
      </c>
      <c r="AK21" s="258">
        <f t="shared" si="18"/>
        <v>0</v>
      </c>
      <c r="AL21" s="253">
        <f t="shared" si="18"/>
        <v>0.33311507259656875</v>
      </c>
      <c r="AM21" s="254">
        <f t="shared" si="18"/>
        <v>2.5849708453020606</v>
      </c>
      <c r="AN21" s="254">
        <f t="shared" si="18"/>
        <v>0.12893618032507057</v>
      </c>
      <c r="AO21" s="255">
        <f t="shared" si="18"/>
        <v>1.2924854226510316</v>
      </c>
      <c r="AP21" s="295" t="str">
        <f t="shared" si="18"/>
        <v>-</v>
      </c>
      <c r="AQ21" s="296">
        <f t="shared" si="18"/>
        <v>0.91167159347114013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3Pb20Qw9nZOO53UlNrPziKk3tU4kwdalC9RPlntH2BrKOvGiubB6Zz1+dfryk5m2P7w3PpibR3H4aNDOEcQ3g==" saltValue="o34OS8+gL0WyMKjDq3gV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LA OROTAVA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0.31111111111111112</v>
      </c>
      <c r="E10" s="357">
        <f>IF(ISNUMBER((Datos!J10-Datos!T10)/Datos!T10),(Datos!J10-Datos!T10)/Datos!T10," - ")</f>
        <v>0.2857142857142857</v>
      </c>
      <c r="F10" s="357">
        <f>IF(ISNUMBER((Datos!K10-Datos!U10)/Datos!U10),(Datos!K10-Datos!U10)/Datos!U10," - ")</f>
        <v>0.36363636363636365</v>
      </c>
      <c r="G10" s="358">
        <f>IF(ISNUMBER((Datos!L10-Datos!V10)/Datos!V10),(Datos!L10-Datos!V10)/Datos!V10," - ")</f>
        <v>0.29268292682926828</v>
      </c>
      <c r="H10" s="234">
        <f>IF(ISNUMBER((Datos!M10-Datos!W10)/Datos!W10),(Datos!M10-Datos!W10)/Datos!W10," - ")</f>
        <v>-0.125</v>
      </c>
      <c r="I10" s="359">
        <f>IF(ISNUMBER((Tasas!C10-Datos!BE10)/Datos!BE10),(Tasas!C10-Datos!BE10)/Datos!BE10," - ")</f>
        <v>-5.2032520325203231E-2</v>
      </c>
      <c r="J10" s="358">
        <f>IF(ISNUMBER((Tasas!D10-Datos!BF10)/Datos!BF10),(Tasas!D10-Datos!BF10)/Datos!BF10," - ")</f>
        <v>-0.35833333333333334</v>
      </c>
      <c r="K10" s="360">
        <f>IF(ISNUMBER((Tasas!E10-Datos!BG10)/Datos!BG10),(Tasas!E10-Datos!BG10)/Datos!BG10," - ")</f>
        <v>-4.1025641025641102E-2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0.24545454545454545</v>
      </c>
      <c r="I12" s="359">
        <f>IF(ISNUMBER((Tasas!C12-Datos!BE12)/Datos!BE12),(Tasas!C12-Datos!BE12)/Datos!BE12," - ")</f>
        <v>0.27234685073339082</v>
      </c>
      <c r="J12" s="358">
        <f>IF(ISNUMBER((Tasas!D12-Datos!BF12)/Datos!BF12),(Tasas!D12-Datos!BF12)/Datos!BF12," - ")</f>
        <v>-2.5528870720490478E-2</v>
      </c>
      <c r="K12" s="360">
        <f>IF(ISNUMBER((Tasas!E12-Datos!BG12)/Datos!BG12),(Tasas!E12-Datos!BG12)/Datos!BG12," - ")</f>
        <v>0.19073660039881563</v>
      </c>
      <c r="M12" t="e">
        <f>IF(Monitorios="SI",Datos!CE12,0)</f>
        <v>#REF!</v>
      </c>
      <c r="N12" t="e">
        <f>IF(Monitorios="SI",Datos!CF12,0)</f>
        <v>#REF!</v>
      </c>
      <c r="O12" t="e">
        <f>IF(Monitorios="SI",Datos!CG12,0)</f>
        <v>#REF!</v>
      </c>
      <c r="P12" t="e">
        <f>IF(Monitorios="SI",Datos!CH12,0)</f>
        <v>#REF!</v>
      </c>
      <c r="Q12">
        <f>IF(J_V="SI",0,Datos!AG12)</f>
        <v>66</v>
      </c>
      <c r="R12">
        <f>IF(J_V="SI",0,Datos!AH12)</f>
        <v>26</v>
      </c>
      <c r="S12">
        <f>IF(J_V="SI",0,Datos!AI12)</f>
        <v>26</v>
      </c>
      <c r="T12">
        <f>IF(J_V="SI",0,Datos!AJ12)</f>
        <v>66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0.23245614035087719</v>
      </c>
      <c r="I13" s="366">
        <f>IF(ISNUMBER((Tasas!C13-Datos!BE13)/Datos!BE13),(Tasas!C13-Datos!BE13)/Datos!BE13," - ")</f>
        <v>0.26820415468440978</v>
      </c>
      <c r="J13" s="364">
        <f>IF(ISNUMBER((Tasas!D13-Datos!BF13)/Datos!BF13),(Tasas!D13-Datos!BF13)/Datos!BF13," - ")</f>
        <v>-3.0891943577254277E-2</v>
      </c>
      <c r="K13" s="367">
        <f>IF(ISNUMBER((Tasas!E13-Datos!BG13)/Datos!BG13),(Tasas!E13-Datos!BG13)/Datos!BG13," - ")</f>
        <v>0.18818283590837687</v>
      </c>
      <c r="M13" t="e">
        <f>IF(Monitorios="SI",Datos!CE13,0)</f>
        <v>#REF!</v>
      </c>
      <c r="N13" t="e">
        <f>IF(Monitorios="SI",Datos!CF13,0)</f>
        <v>#REF!</v>
      </c>
      <c r="O13" t="e">
        <f>IF(Monitorios="SI",Datos!CG13,0)</f>
        <v>#REF!</v>
      </c>
      <c r="P13" t="e">
        <f>IF(Monitorios="SI",Datos!CH13,0)</f>
        <v>#REF!</v>
      </c>
      <c r="Q13">
        <f>IF(J_V="SI",0,Datos!AG13)</f>
        <v>66</v>
      </c>
      <c r="R13">
        <f>IF(J_V="SI",0,Datos!AH13)</f>
        <v>26</v>
      </c>
      <c r="S13">
        <f>IF(J_V="SI",0,Datos!AI13)</f>
        <v>26</v>
      </c>
      <c r="T13">
        <f>IF(J_V="SI",0,Datos!AJ13)</f>
        <v>66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-0.30776255707762556</v>
      </c>
      <c r="E16" s="357">
        <f>IF(ISNUMBER(
   IF(D_I="SI",(Datos!J16-Datos!T16)/Datos!T16,(Datos!J16+Datos!AD16-(Datos!T16+Datos!AL16))/(Datos!T16+Datos!AL16))
     ),IF(D_I="SI",(Datos!J16-Datos!T16)/Datos!T16,(Datos!J16+Datos!AD16-(Datos!T16+Datos!AL16))/(Datos!T16+Datos!AL16))," - ")</f>
        <v>1.2897678417884782E-2</v>
      </c>
      <c r="F16" s="357">
        <f>IF(ISNUMBER(
   IF(D_I="SI",(Datos!K16-Datos!U16)/Datos!U16,(Datos!K16+Datos!AE16-(Datos!U16+Datos!AM16))/(Datos!U16+Datos!AM16))
     ),IF(D_I="SI",(Datos!K16-Datos!U16)/Datos!U16,(Datos!K16+Datos!AE16-(Datos!U16+Datos!AM16))/(Datos!U16+Datos!AM16))," - ")</f>
        <v>-6.5298507462686561E-2</v>
      </c>
      <c r="G16" s="358">
        <f>IF(ISNUMBER(
   IF(D_I="SI",(Datos!L16-Datos!V16)/Datos!V16,(Datos!L16+Datos!AF16-(Datos!V16+Datos!AN16))/(Datos!V16+Datos!AN16))
     ),IF(D_I="SI",(Datos!L16-Datos!V16)/Datos!V16,(Datos!L16+Datos!AF16-(Datos!V16+Datos!AN16))/(Datos!V16+Datos!AN16))," - ")</f>
        <v>-0.21247892074198987</v>
      </c>
      <c r="H16" s="234">
        <f>IF(ISNUMBER((Datos!M16-Datos!W16)/Datos!W16),(Datos!M16-Datos!W16)/Datos!W16," - ")</f>
        <v>5.6451612903225805E-2</v>
      </c>
      <c r="I16" s="359">
        <f>IF(ISNUMBER((Tasas!C16-Datos!BE16)/Datos!BE16),(Tasas!C16-Datos!BE16)/Datos!BE16," - ")</f>
        <v>-0.15746247807925456</v>
      </c>
      <c r="J16" s="358">
        <f>IF(ISNUMBER((Tasas!D16-Datos!BF16)/Datos!BF16),(Tasas!D16-Datos!BF16)/Datos!BF16," - ")</f>
        <v>0.13025561779666484</v>
      </c>
      <c r="K16" s="360">
        <f>IF(ISNUMBER((Tasas!E16-Datos!BG16)/Datos!BG16),(Tasas!E16-Datos!BG16)/Datos!BG16," - ")</f>
        <v>-8.2706155448182522E-2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-0.17293233082706766</v>
      </c>
      <c r="E17" s="357">
        <f>IF(ISNUMBER(
   IF(D_I="SI",(Datos!J17-Datos!T17)/Datos!T17,(Datos!J17+Datos!AD17-(Datos!T17+Datos!AL17))/(Datos!T17+Datos!AL17))
     ),IF(D_I="SI",(Datos!J17-Datos!T17)/Datos!T17,(Datos!J17+Datos!AD17-(Datos!T17+Datos!AL17))/(Datos!T17+Datos!AL17))," - ")</f>
        <v>0.2446043165467626</v>
      </c>
      <c r="F17" s="357">
        <f>IF(ISNUMBER(
   IF(D_I="SI",(Datos!K17-Datos!U17)/Datos!U17,(Datos!K17+Datos!AE17-(Datos!U17+Datos!AM17))/(Datos!U17+Datos!AM17))
     ),IF(D_I="SI",(Datos!K17-Datos!U17)/Datos!U17,(Datos!K17+Datos!AE17-(Datos!U17+Datos!AM17))/(Datos!U17+Datos!AM17))," - ")</f>
        <v>0.21739130434782608</v>
      </c>
      <c r="G17" s="358">
        <f>IF(ISNUMBER(
   IF(D_I="SI",(Datos!L17-Datos!V17)/Datos!V17,(Datos!L17+Datos!AF17-(Datos!V17+Datos!AN17))/(Datos!V17+Datos!AN17))
     ),IF(D_I="SI",(Datos!L17-Datos!V17)/Datos!V17,(Datos!L17+Datos!AF17-(Datos!V17+Datos!AN17))/(Datos!V17+Datos!AN17))," - ")</f>
        <v>-0.1417910447761194</v>
      </c>
      <c r="H17" s="234">
        <f>IF(ISNUMBER((Datos!M17-Datos!W17)/Datos!W17),(Datos!M17-Datos!W17)/Datos!W17," - ")</f>
        <v>0.52631578947368418</v>
      </c>
      <c r="I17" s="359">
        <f>IF(ISNUMBER((Tasas!C17-Datos!BE17)/Datos!BE17),(Tasas!C17-Datos!BE17)/Datos!BE17," - ")</f>
        <v>-0.29504264392324092</v>
      </c>
      <c r="J17" s="358">
        <f>IF(ISNUMBER((Tasas!D17-Datos!BF17)/Datos!BF17),(Tasas!D17-Datos!BF17)/Datos!BF17," - ")</f>
        <v>0.25375939849624057</v>
      </c>
      <c r="K17" s="360">
        <f>IF(ISNUMBER((Tasas!E17-Datos!BG17)/Datos!BG17),(Tasas!E17-Datos!BG17)/Datos!BG17," - ")</f>
        <v>-0.14535189075630256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-0.29315960912052119</v>
      </c>
      <c r="E18" s="363">
        <f>IF(ISNUMBER(
   IF(D_I="SI",(Datos!J18-Datos!T18)/Datos!T18,(Datos!J18+Datos!AD18-(Datos!T18+Datos!AL18))/(Datos!T18+Datos!AL18))
     ),IF(D_I="SI",(Datos!J18-Datos!T18)/Datos!T18,(Datos!J18+Datos!AD18-(Datos!T18+Datos!AL18))/(Datos!T18+Datos!AL18))," - ")</f>
        <v>3.7634408602150539E-2</v>
      </c>
      <c r="F18" s="363">
        <f>IF(ISNUMBER(
   IF(D_I="SI",(Datos!K18-Datos!U18)/Datos!U18,(Datos!K18+Datos!AE18-(Datos!U18+Datos!AM18))/(Datos!U18+Datos!AM18))
     ),IF(D_I="SI",(Datos!K18-Datos!U18)/Datos!U18,(Datos!K18+Datos!AE18-(Datos!U18+Datos!AM18))/(Datos!U18+Datos!AM18))," - ")</f>
        <v>-3.3057851239669422E-2</v>
      </c>
      <c r="G18" s="364">
        <f>IF(ISNUMBER(
   IF(D_I="SI",(Datos!L18-Datos!V18)/Datos!V18,(Datos!L18+Datos!AF18-(Datos!V18+Datos!AN18))/(Datos!V18+Datos!AN18))
     ),IF(D_I="SI",(Datos!L18-Datos!V18)/Datos!V18,(Datos!L18+Datos!AF18-(Datos!V18+Datos!AN18))/(Datos!V18+Datos!AN18))," - ")</f>
        <v>-0.20530303030303029</v>
      </c>
      <c r="H18" s="365">
        <f>IF(ISNUMBER((Datos!M18-Datos!W18)/Datos!W18),(Datos!M18-Datos!W18)/Datos!W18," - ")</f>
        <v>0.11888111888111888</v>
      </c>
      <c r="I18" s="366">
        <f>IF(ISNUMBER((Tasas!C18-Datos!BE18)/Datos!BE18),(Tasas!C18-Datos!BE18)/Datos!BE18," - ")</f>
        <v>-0.17813390313390304</v>
      </c>
      <c r="J18" s="364">
        <f>IF(ISNUMBER((Tasas!D18-Datos!BF18)/Datos!BF18),(Tasas!D18-Datos!BF18)/Datos!BF18," - ")</f>
        <v>0.15713346482577265</v>
      </c>
      <c r="K18" s="367">
        <f>IF(ISNUMBER((Tasas!E18-Datos!BG18)/Datos!BG18),(Tasas!E18-Datos!BG18)/Datos!BG18," - ")</f>
        <v>-9.2939427722036422E-2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-7.2760703966377724E-2</v>
      </c>
      <c r="E19" s="372">
        <f>IF(ISNUMBER(
   IF(J_V="SI",(Datos!J19-Datos!T19)/Datos!T19,(Datos!J19+Datos!Z19-(Datos!T19+Datos!AH19))/(Datos!T19+Datos!AH19))
     ),IF(J_V="SI",(Datos!J19-Datos!T19)/Datos!T19,(Datos!J19+Datos!Z19-(Datos!T19+Datos!AH19))/(Datos!T19+Datos!AH19))," - ")</f>
        <v>0.12084993359893759</v>
      </c>
      <c r="F19" s="372">
        <f>IF(ISNUMBER(
   IF(J_V="SI",(Datos!K19-Datos!U19)/Datos!U19,(Datos!K19+Datos!AA19-(Datos!U19+Datos!AI19))/(Datos!U19+Datos!AI19))
     ),IF(J_V="SI",(Datos!K19-Datos!U19)/Datos!U19,(Datos!K19+Datos!AA19-(Datos!U19+Datos!AI19))/(Datos!U19+Datos!AI19))," - ")</f>
        <v>-5.7395143487858721E-2</v>
      </c>
      <c r="G19" s="373">
        <f>IF(ISNUMBER(
   IF(J_V="SI",(Datos!L19-Datos!V19)/Datos!V19,(Datos!L19+Datos!AB19-(Datos!V19+Datos!AJ19))/(Datos!V19+Datos!AJ19))
     ),IF(J_V="SI",(Datos!L19-Datos!V19)/Datos!V19,(Datos!L19+Datos!AB19-(Datos!V19+Datos!AJ19))/(Datos!V19+Datos!AJ19))," - ")</f>
        <v>3.3149171270718231E-2</v>
      </c>
      <c r="H19" s="374">
        <f>IF(ISNUMBER((Datos!M19-Datos!W19)/Datos!W19),(Datos!M19-Datos!W19)/Datos!W19," - ")</f>
        <v>0.18867924528301888</v>
      </c>
      <c r="I19" s="371">
        <f>IF(ISNUMBER((Tasas!C19-Datos!BE19)/Datos!BE19),(Tasas!C19-Datos!BE19)/Datos!BE19," - ")</f>
        <v>9.6057551722799436E-2</v>
      </c>
      <c r="J19" s="372">
        <f>IF(ISNUMBER((Tasas!D19-Datos!BF19)/Datos!BF19),(Tasas!D19-Datos!BF19)/Datos!BF19," - ")</f>
        <v>1.7070563079116193E-2</v>
      </c>
      <c r="K19" s="373">
        <f>IF(ISNUMBER((Tasas!E19-Datos!BG19)/Datos!BG19),(Tasas!E19-Datos!BG19)/Datos!BG19," - ")</f>
        <v>6.0190365001378365E-2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0.2908740862520619</v>
      </c>
      <c r="E21" s="282">
        <f t="shared" si="1"/>
        <v>0.13988059520457755</v>
      </c>
      <c r="F21" s="282">
        <f t="shared" si="1"/>
        <v>0.2054297954445797</v>
      </c>
      <c r="G21" s="283">
        <f t="shared" si="1"/>
        <v>0.2417002584578101</v>
      </c>
      <c r="H21" s="289">
        <f t="shared" si="1"/>
        <v>0.21858061189372893</v>
      </c>
      <c r="I21" s="281">
        <f t="shared" si="1"/>
        <v>0.24042610731664391</v>
      </c>
      <c r="J21" s="282">
        <f t="shared" si="1"/>
        <v>0.21605439562016604</v>
      </c>
      <c r="K21" s="283">
        <f t="shared" si="1"/>
        <v>0.14834687071768199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e+HTm3ru2VZqZaoQJt20SGFM3WgszCTXi6iJW/zmudNwLh4Kxqlmq3CiozIi69o7MqOrElnwu//OfFUBXiRoA==" saltValue="9muFg4iwdkFrVi2qzdeU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